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PUCcomp" sheetId="1" state="visible" r:id="rId3"/>
    <sheet name="Prices" sheetId="2" state="visible" r:id="rId4"/>
    <sheet name="BillDet" sheetId="3" state="visible" r:id="rId5"/>
    <sheet name="TierSum" sheetId="4" state="visible" r:id="rId6"/>
    <sheet name="GT200%Rev" sheetId="5" state="visible" r:id="rId7"/>
    <sheet name="CARE130%" sheetId="6" state="visible" r:id="rId8"/>
    <sheet name="130%Baseline" sheetId="7" state="visible" r:id="rId9"/>
    <sheet name="130%-200%" sheetId="8" state="visible" r:id="rId10"/>
    <sheet name="200%Baseline" sheetId="9" state="visible" r:id="rId11"/>
    <sheet name="Comps" sheetId="10" state="visible" r:id="rId12"/>
    <sheet name="Summary" sheetId="11" state="visible" r:id="rId13"/>
  </sheets>
  <definedNames>
    <definedName function="false" hidden="false" localSheetId="7" name="_xlnm.Print_Area" vbProcedure="false">'130%-200%'!$A$1:$F$59</definedName>
    <definedName function="false" hidden="false" localSheetId="6" name="_xlnm.Print_Area" vbProcedure="false">'130%Baseline'!$A$1:$F$59</definedName>
    <definedName function="false" hidden="false" localSheetId="8" name="_xlnm.Print_Area" vbProcedure="false">'200%Baseline'!$A$1:$F$59</definedName>
    <definedName function="false" hidden="false" localSheetId="2" name="_xlnm.Print_Area" vbProcedure="false">BillDet!$A$1:$K$75</definedName>
    <definedName function="false" hidden="false" localSheetId="5" name="_xlnm.Print_Area" vbProcedure="false">'CARE130%'!$A$1:$F$59</definedName>
    <definedName function="false" hidden="false" localSheetId="9" name="_xlnm.Print_Area" vbProcedure="false">Comps!$A$1:$G$30</definedName>
    <definedName function="false" hidden="false" localSheetId="0" name="_xlnm.Print_Area" vbProcedure="false">CPUCcomp!$A$1:$J$45</definedName>
    <definedName function="false" hidden="false" localSheetId="4" name="_xlnm.Print_Area" vbProcedure="false">'GT200%Rev'!$A$2:$N$38</definedName>
    <definedName function="false" hidden="false" localSheetId="1" name="_xlnm.Print_Area" vbProcedure="false">Prices!$A$1:$J$20</definedName>
    <definedName function="false" hidden="false" localSheetId="10" name="_xlnm.Print_Area" vbProcedure="false">Summary!$A$1:$F$21</definedName>
    <definedName function="false" hidden="false" localSheetId="3" name="_xlnm.Print_Area" vbProcedure="false">TierSum!$A$1:$I$65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<sst xmlns="http://schemas.openxmlformats.org/spreadsheetml/2006/main" count="804" uniqueCount="206">
  <si>
    <t xml:space="preserve">PG&amp;E Residential Revenue Forecast:  3-Cent Per kWh Surcharge</t>
  </si>
  <si>
    <t xml:space="preserve">PG&amp;E's Residential Non-CARE Customers</t>
  </si>
  <si>
    <t xml:space="preserve">2001 Forecast</t>
  </si>
  <si>
    <t xml:space="preserve">Total Current</t>
  </si>
  <si>
    <t xml:space="preserve">Revenue</t>
  </si>
  <si>
    <t xml:space="preserve">New Total</t>
  </si>
  <si>
    <t xml:space="preserve">Increase</t>
  </si>
  <si>
    <t xml:space="preserve">Percent</t>
  </si>
  <si>
    <t xml:space="preserve">Annual Sales</t>
  </si>
  <si>
    <t xml:space="preserve">Current Rates</t>
  </si>
  <si>
    <t xml:space="preserve">Revenues</t>
  </si>
  <si>
    <t xml:space="preserve">New Rates</t>
  </si>
  <si>
    <t xml:space="preserve">in Average</t>
  </si>
  <si>
    <t xml:space="preserve">Customer Group</t>
  </si>
  <si>
    <t xml:space="preserve">Customers</t>
  </si>
  <si>
    <t xml:space="preserve">of Total</t>
  </si>
  <si>
    <t xml:space="preserve">(GWh)</t>
  </si>
  <si>
    <t xml:space="preserve">(cents/kWh)</t>
  </si>
  <si>
    <t xml:space="preserve">($ MM)</t>
  </si>
  <si>
    <t xml:space="preserve">Rate (%)</t>
  </si>
  <si>
    <t xml:space="preserve">Up to 100% Baseline</t>
  </si>
  <si>
    <t xml:space="preserve">100 to 130% Baseline</t>
  </si>
  <si>
    <t xml:space="preserve">130 to 200% Baseline</t>
  </si>
  <si>
    <t xml:space="preserve">Over 200% Baseline</t>
  </si>
  <si>
    <t xml:space="preserve">TOTAL</t>
  </si>
  <si>
    <t xml:space="preserve">PG&amp;E's Residential CARE Customers</t>
  </si>
  <si>
    <t xml:space="preserve">PG&amp;E's Residential Customers</t>
  </si>
  <si>
    <t xml:space="preserve">2001 Forecast Summary</t>
  </si>
  <si>
    <t xml:space="preserve">  Up to 100% Baseline</t>
  </si>
  <si>
    <t xml:space="preserve">100 to 130% Baseline *</t>
  </si>
  <si>
    <t xml:space="preserve">Over 200% Baseline: 1 to 6 months</t>
  </si>
  <si>
    <t xml:space="preserve">Over 200% Baseline: 7 to 12 months</t>
  </si>
  <si>
    <t xml:space="preserve">* Includes CARE customers in the 130% to 200% and Over 200% categories since they are not subject to the surcharge</t>
  </si>
  <si>
    <t xml:space="preserve">Proposed Tier 3 Surcharges and Rates</t>
  </si>
  <si>
    <t xml:space="preserve">Current</t>
  </si>
  <si>
    <t xml:space="preserve">Current *</t>
  </si>
  <si>
    <t xml:space="preserve">Additional</t>
  </si>
  <si>
    <t xml:space="preserve">Proposed</t>
  </si>
  <si>
    <t xml:space="preserve">Tariffed Rate</t>
  </si>
  <si>
    <t xml:space="preserve">Effective Rate</t>
  </si>
  <si>
    <t xml:space="preserve">Surcharge</t>
  </si>
  <si>
    <t xml:space="preserve">E-1 Rates</t>
  </si>
  <si>
    <t xml:space="preserve">Change</t>
  </si>
  <si>
    <t xml:space="preserve">Tier 1</t>
  </si>
  <si>
    <t xml:space="preserve">Tier 2</t>
  </si>
  <si>
    <t xml:space="preserve">Tier 3</t>
  </si>
  <si>
    <t xml:space="preserve">Tier 4</t>
  </si>
  <si>
    <t xml:space="preserve">Customers whose usage exceeds 200% of baseline for six months or less per year will receive an average increase of:</t>
  </si>
  <si>
    <t xml:space="preserve">Customers whose usage exceeds 200% of baseline for more than six months per year will receive an average increase of:</t>
  </si>
  <si>
    <t xml:space="preserve">* Included 1.0 cent surcharge effective 1/01.</t>
  </si>
  <si>
    <t xml:space="preserve">EL-1</t>
  </si>
  <si>
    <t xml:space="preserve">Pre-Discount</t>
  </si>
  <si>
    <t xml:space="preserve">Post-Discount</t>
  </si>
  <si>
    <t xml:space="preserve">Under 100%</t>
  </si>
  <si>
    <t xml:space="preserve">100 to 130% </t>
  </si>
  <si>
    <t xml:space="preserve">130 to 200% </t>
  </si>
  <si>
    <t xml:space="preserve">200 to 300% </t>
  </si>
  <si>
    <t xml:space="preserve">Over 300%</t>
  </si>
  <si>
    <t xml:space="preserve">Tier 1 kWh</t>
  </si>
  <si>
    <t xml:space="preserve">Tier 2 kWh</t>
  </si>
  <si>
    <t xml:space="preserve">Tier 3 kWh</t>
  </si>
  <si>
    <t xml:space="preserve">Tier 4 kWh</t>
  </si>
  <si>
    <t xml:space="preserve">Tier 5 kWh</t>
  </si>
  <si>
    <t xml:space="preserve">Total kWh</t>
  </si>
  <si>
    <t xml:space="preserve">Tiers by Percent</t>
  </si>
  <si>
    <t xml:space="preserve">100 to 200% </t>
  </si>
  <si>
    <t xml:space="preserve">n/a</t>
  </si>
  <si>
    <t xml:space="preserve">Tier 3 Surcharge</t>
  </si>
  <si>
    <t xml:space="preserve">Tier 4/5 Surch.</t>
  </si>
  <si>
    <t xml:space="preserve">Tier 3 Rev.</t>
  </si>
  <si>
    <t xml:space="preserve">Tier 4 Rev.</t>
  </si>
  <si>
    <t xml:space="preserve">Tier 5 Rev.</t>
  </si>
  <si>
    <t xml:space="preserve">Total Rev. Req</t>
  </si>
  <si>
    <t xml:space="preserve">Proposed Rates</t>
  </si>
  <si>
    <t xml:space="preserve">2001 Proposed Revenues</t>
  </si>
  <si>
    <t xml:space="preserve">Total Proposed</t>
  </si>
  <si>
    <t xml:space="preserve">Rev. Including</t>
  </si>
  <si>
    <t xml:space="preserve">Cust. Months</t>
  </si>
  <si>
    <t xml:space="preserve">Sales</t>
  </si>
  <si>
    <t xml:space="preserve">10% Discount</t>
  </si>
  <si>
    <t xml:space="preserve">E-1</t>
  </si>
  <si>
    <t xml:space="preserve">E-7</t>
  </si>
  <si>
    <t xml:space="preserve">E-8</t>
  </si>
  <si>
    <t xml:space="preserve">Non-CARE</t>
  </si>
  <si>
    <t xml:space="preserve">EL-7</t>
  </si>
  <si>
    <t xml:space="preserve">EL-8</t>
  </si>
  <si>
    <t xml:space="preserve">CARE</t>
  </si>
  <si>
    <t xml:space="preserve">Total E-7</t>
  </si>
  <si>
    <t xml:space="preserve">Total</t>
  </si>
  <si>
    <t xml:space="preserve">December 1999 - November 2000</t>
  </si>
  <si>
    <t xml:space="preserve"> </t>
  </si>
  <si>
    <t xml:space="preserve">130 Percent of Baseline</t>
  </si>
  <si>
    <t xml:space="preserve">Over 130%</t>
  </si>
  <si>
    <t xml:space="preserve">Tier 3 as</t>
  </si>
  <si>
    <t xml:space="preserve">Pct. Of Usage</t>
  </si>
  <si>
    <t xml:space="preserve">Over 130% Baseline</t>
  </si>
  <si>
    <t xml:space="preserve">200 Percent of Baseline</t>
  </si>
  <si>
    <t xml:space="preserve">Over 200%</t>
  </si>
  <si>
    <t xml:space="preserve">0 to 100% Baseline</t>
  </si>
  <si>
    <t xml:space="preserve">100 to 200% Baseline</t>
  </si>
  <si>
    <t xml:space="preserve">130 to 200 Pct. of Baseline</t>
  </si>
  <si>
    <t xml:space="preserve">Under 130%</t>
  </si>
  <si>
    <t xml:space="preserve">Up to 130% Baseline</t>
  </si>
  <si>
    <t xml:space="preserve">Customers With Usage Greater than 200 Percent Baseline  (Tier 4)</t>
  </si>
  <si>
    <t xml:space="preserve">Months</t>
  </si>
  <si>
    <t xml:space="preserve">0% to 100% BL</t>
  </si>
  <si>
    <t xml:space="preserve">100% to 130% BL</t>
  </si>
  <si>
    <t xml:space="preserve">130% to 200% BL</t>
  </si>
  <si>
    <t xml:space="preserve">Over 200% BL</t>
  </si>
  <si>
    <t xml:space="preserve">in TR4</t>
  </si>
  <si>
    <t xml:space="preserve">CUSTS</t>
  </si>
  <si>
    <t xml:space="preserve">TR1 Revenue</t>
  </si>
  <si>
    <t xml:space="preserve">TR2 Revenue</t>
  </si>
  <si>
    <t xml:space="preserve">TR3 Revenue</t>
  </si>
  <si>
    <t xml:space="preserve">TR4 Revenue</t>
  </si>
  <si>
    <t xml:space="preserve">Total Revenue</t>
  </si>
  <si>
    <t xml:space="preserve">Current Bills</t>
  </si>
  <si>
    <t xml:space="preserve">(Customers with 1 to 6 months of Tier 4 Usage)</t>
  </si>
  <si>
    <t xml:space="preserve">(Customers with 6 to 12 months of Tier 4 Usage)</t>
  </si>
  <si>
    <t xml:space="preserve">6 to 11 months</t>
  </si>
  <si>
    <t xml:space="preserve">12 months</t>
  </si>
  <si>
    <t xml:space="preserve">Total Tier 3</t>
  </si>
  <si>
    <t xml:space="preserve">Percent of Usage</t>
  </si>
  <si>
    <t xml:space="preserve">Pct. Usage</t>
  </si>
  <si>
    <t xml:space="preserve">0 to 130%</t>
  </si>
  <si>
    <t xml:space="preserve">100 to 200%</t>
  </si>
  <si>
    <t xml:space="preserve">TR1 kWh</t>
  </si>
  <si>
    <t xml:space="preserve">TR2 kWh</t>
  </si>
  <si>
    <t xml:space="preserve">TR3 kWh</t>
  </si>
  <si>
    <t xml:space="preserve">TR4 kWh</t>
  </si>
  <si>
    <t xml:space="preserve">in Tier 3</t>
  </si>
  <si>
    <t xml:space="preserve">in Tier 4</t>
  </si>
  <si>
    <t xml:space="preserve">(Customers with 7 to 12 months of Tier 4 Usage)</t>
  </si>
  <si>
    <t xml:space="preserve">Tier 3 Based on 130 Percent of Baseline</t>
  </si>
  <si>
    <t xml:space="preserve">0 to 100% BL</t>
  </si>
  <si>
    <t xml:space="preserve">Over 130% BL</t>
  </si>
  <si>
    <t xml:space="preserve">Total Usage By Tier</t>
  </si>
  <si>
    <t xml:space="preserve">0 to 100%</t>
  </si>
  <si>
    <t xml:space="preserve">100% to 130%</t>
  </si>
  <si>
    <t xml:space="preserve">Months in</t>
  </si>
  <si>
    <t xml:space="preserve">Percent of</t>
  </si>
  <si>
    <t xml:space="preserve">TR1</t>
  </si>
  <si>
    <t xml:space="preserve">total kWh</t>
  </si>
  <si>
    <t xml:space="preserve">TR2</t>
  </si>
  <si>
    <t xml:space="preserve">TR3</t>
  </si>
  <si>
    <t xml:space="preserve">1 - 3 months </t>
  </si>
  <si>
    <t xml:space="preserve">Pct. of Usage</t>
  </si>
  <si>
    <t xml:space="preserve">12 mos. in Tier 3</t>
  </si>
  <si>
    <t xml:space="preserve">All CARE</t>
  </si>
  <si>
    <t xml:space="preserve">Total Bills</t>
  </si>
  <si>
    <t xml:space="preserve">TR1 Only</t>
  </si>
  <si>
    <t xml:space="preserve">T2 with T1 Bills</t>
  </si>
  <si>
    <t xml:space="preserve">T3 with T2 Bills</t>
  </si>
  <si>
    <t xml:space="preserve">Total Tier 1 bills</t>
  </si>
  <si>
    <t xml:space="preserve">Total Tier 2 bills</t>
  </si>
  <si>
    <t xml:space="preserve">Total Tier 3 bills</t>
  </si>
  <si>
    <t xml:space="preserve">Tier 2 </t>
  </si>
  <si>
    <t xml:space="preserve">No Tier 3</t>
  </si>
  <si>
    <t xml:space="preserve">1 - 3 months</t>
  </si>
  <si>
    <t xml:space="preserve">4 - 7 months</t>
  </si>
  <si>
    <t xml:space="preserve">8 - 11 months</t>
  </si>
  <si>
    <t xml:space="preserve">All 12 months</t>
  </si>
  <si>
    <t xml:space="preserve">All Res</t>
  </si>
  <si>
    <t xml:space="preserve">Tier 1 Only</t>
  </si>
  <si>
    <t xml:space="preserve">Proposed Increase</t>
  </si>
  <si>
    <t xml:space="preserve">Method 2</t>
  </si>
  <si>
    <t xml:space="preserve">total proposed</t>
  </si>
  <si>
    <t xml:space="preserve">Pct. Increase</t>
  </si>
  <si>
    <t xml:space="preserve">Current Bill</t>
  </si>
  <si>
    <t xml:space="preserve">total current</t>
  </si>
  <si>
    <t xml:space="preserve">Usage Reduction</t>
  </si>
  <si>
    <t xml:space="preserve">to Eliminate </t>
  </si>
  <si>
    <t xml:space="preserve">Tier 2 *</t>
  </si>
  <si>
    <t xml:space="preserve">Bill Increase</t>
  </si>
  <si>
    <t xml:space="preserve">Tier 2 Based on 130 to 200 Percent of Baseline</t>
  </si>
  <si>
    <t xml:space="preserve">130% to 200%</t>
  </si>
  <si>
    <t xml:space="preserve">GT 200%</t>
  </si>
  <si>
    <t xml:space="preserve">0 to 130% baseline</t>
  </si>
  <si>
    <t xml:space="preserve">130 to 200%</t>
  </si>
  <si>
    <t xml:space="preserve">20% Rev Incr.</t>
  </si>
  <si>
    <t xml:space="preserve">Tier 3 Based on 200 Percent of Baseline</t>
  </si>
  <si>
    <t xml:space="preserve">100% to 200%</t>
  </si>
  <si>
    <t xml:space="preserve">Average</t>
  </si>
  <si>
    <t xml:space="preserve">Total Use</t>
  </si>
  <si>
    <t xml:space="preserve">Residential Bill Impacts</t>
  </si>
  <si>
    <t xml:space="preserve">20 Percent Total Revenue Increase</t>
  </si>
  <si>
    <t xml:space="preserve">kWh</t>
  </si>
  <si>
    <t xml:space="preserve">No Tier 3 *</t>
  </si>
  <si>
    <t xml:space="preserve">Tier 3: 1 - 3 Months</t>
  </si>
  <si>
    <t xml:space="preserve">Tier 3: 4 - 7 Months</t>
  </si>
  <si>
    <t xml:space="preserve">Tier 3: 8 - 11 Months</t>
  </si>
  <si>
    <t xml:space="preserve">Tier 3: All 12 Months</t>
  </si>
  <si>
    <t xml:space="preserve">*Includes all of CARE.</t>
  </si>
  <si>
    <t xml:space="preserve">10 Percent Total Revenue Increase</t>
  </si>
  <si>
    <t xml:space="preserve">NOTE:  175% of baseline is equal to the average usage in each climate zone.</t>
  </si>
  <si>
    <t xml:space="preserve">Percentage Reduction in Usage Necessary to Eliminate Rate Increase</t>
  </si>
  <si>
    <t xml:space="preserve">10% Rev. Inc.</t>
  </si>
  <si>
    <t xml:space="preserve">20% Rev. Inc.</t>
  </si>
  <si>
    <t xml:space="preserve">Total Residential Usage By Tier</t>
  </si>
  <si>
    <t xml:space="preserve">November 1999 to October 2000</t>
  </si>
  <si>
    <t xml:space="preserve">100% Baseline</t>
  </si>
  <si>
    <t xml:space="preserve">Pct. of total Usage</t>
  </si>
  <si>
    <t xml:space="preserve">130% Baseline</t>
  </si>
  <si>
    <t xml:space="preserve">200% Baseline</t>
  </si>
  <si>
    <t xml:space="preserve">200% Baseline or 1000 kWh/Month</t>
  </si>
  <si>
    <t xml:space="preserve">*  Any CARE usage that is not in Tier 1 is included in Tier 2.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</si>
</sst>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#,##0"/>
    <numFmt numFmtId="166" formatCode="0%"/>
    <numFmt numFmtId="167" formatCode="_(* #,##0.00_);_(* \(#,##0.00\);_(* \-??_);_(@_)"/>
    <numFmt numFmtId="168" formatCode="_(* #,##0.0_);_(* \(#,##0.0\);_(* \-??_);_(@_)"/>
    <numFmt numFmtId="169" formatCode="\$#,##0"/>
    <numFmt numFmtId="170" formatCode="_(* #,##0_);_(* \(#,##0\);_(* \-??_);_(@_)"/>
    <numFmt numFmtId="171" formatCode="_(\$* #,##0.00_);_(\$* \(#,##0.00\);_(\$* \-??_);_(@_)"/>
    <numFmt numFmtId="172" formatCode="_(\$* #,##0.00000_);_(\$* \(#,##0.00000\);_(\$* \-??_);_(@_)"/>
    <numFmt numFmtId="173" formatCode="\$#,##0.000"/>
    <numFmt numFmtId="174" formatCode="\$#,##0.00000"/>
    <numFmt numFmtId="175" formatCode="0.0%"/>
    <numFmt numFmtId="176" formatCode="0.00%"/>
    <numFmt numFmtId="177" formatCode="_(\$* #,##0_);_(\$* \(#,##0\);_(\$* \-??_);_(@_)"/>
    <numFmt numFmtId="178" formatCode="_(\$* #,##0.000_);_(\$* \(#,##0.000\);_(\$* \-??_);_(@_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 val="single"/>
      <sz val="8"/>
      <name val="Arial"/>
      <family val="2"/>
    </font>
    <font>
      <sz val="8"/>
      <color rgb="FF800080"/>
      <name val="Arial"/>
      <family val="2"/>
    </font>
    <font>
      <u val="single"/>
      <sz val="8"/>
      <color rgb="FF800080"/>
      <name val="Arial"/>
      <family val="2"/>
    </font>
    <font>
      <u val="single"/>
      <sz val="9"/>
      <name val="Arial"/>
      <family val="2"/>
    </font>
    <font>
      <sz val="9"/>
      <color rgb="FF800080"/>
      <name val="Arial"/>
      <family val="2"/>
    </font>
    <font>
      <b val="true"/>
      <sz val="8"/>
      <name val="Arial"/>
      <family val="2"/>
    </font>
    <font>
      <b val="true"/>
      <u val="single"/>
      <sz val="8"/>
      <name val="Arial"/>
      <family val="2"/>
    </font>
    <font>
      <b val="true"/>
      <sz val="10"/>
      <name val="Arial"/>
      <family val="2"/>
    </font>
    <font>
      <sz val="8"/>
      <color rgb="FF993366"/>
      <name val="Arial"/>
      <family val="2"/>
    </font>
    <font>
      <u val="single"/>
      <sz val="8"/>
      <color rgb="FF993366"/>
      <name val="Arial"/>
      <family val="2"/>
    </font>
    <font>
      <sz val="11"/>
      <name val="Arial"/>
      <family val="2"/>
    </font>
    <font>
      <u val="single"/>
      <sz val="10"/>
      <name val="Arial"/>
      <family val="2"/>
    </font>
    <font>
      <b val="true"/>
      <sz val="11"/>
      <name val="Arial"/>
      <family val="2"/>
    </font>
    <font>
      <b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7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6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4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3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3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1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1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13"/>
    <col collapsed="false" customWidth="true" hidden="false" outlineLevel="0" max="2" min="2" style="0" width="9.56"/>
    <col collapsed="false" customWidth="true" hidden="false" outlineLevel="0" max="3" min="3" style="0" width="8.28"/>
    <col collapsed="false" customWidth="true" hidden="false" outlineLevel="0" max="4" min="4" style="0" width="9.99"/>
    <col collapsed="false" customWidth="true" hidden="false" outlineLevel="0" max="6" min="5" style="0" width="10.85"/>
    <col collapsed="false" customWidth="true" hidden="false" outlineLevel="0" max="7" min="7" style="0" width="9.56"/>
    <col collapsed="false" customWidth="true" hidden="false" outlineLevel="0" max="9" min="8" style="0" width="10.41"/>
    <col collapsed="false" customWidth="true" hidden="false" outlineLevel="0" max="11" min="11" style="0" width="12.7"/>
  </cols>
  <sheetData>
    <row r="2" customFormat="false" ht="1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3"/>
    </row>
    <row r="6" customFormat="false" ht="12.75" hidden="false" customHeight="false" outlineLevel="0" collapsed="false">
      <c r="A6" s="4" t="s">
        <v>1</v>
      </c>
      <c r="B6" s="4"/>
      <c r="C6" s="4"/>
      <c r="D6" s="4"/>
      <c r="E6" s="4"/>
      <c r="F6" s="4"/>
      <c r="G6" s="4"/>
      <c r="H6" s="4"/>
      <c r="I6" s="4"/>
      <c r="J6" s="5"/>
      <c r="K6" s="5"/>
    </row>
    <row r="7" customFormat="false" ht="12" hidden="false" customHeight="false" outlineLevel="0" collapsed="false">
      <c r="A7" s="6" t="s">
        <v>2</v>
      </c>
      <c r="B7" s="6"/>
      <c r="C7" s="6"/>
      <c r="D7" s="6"/>
      <c r="E7" s="6"/>
      <c r="F7" s="6"/>
      <c r="G7" s="6"/>
      <c r="H7" s="6"/>
      <c r="I7" s="6"/>
      <c r="J7" s="7"/>
      <c r="K7" s="7"/>
    </row>
    <row r="8" customFormat="false" ht="12" hidden="false" customHeight="true" outlineLevel="0" collapsed="false">
      <c r="A8" s="8"/>
      <c r="B8" s="9"/>
      <c r="C8" s="10"/>
      <c r="D8" s="10"/>
      <c r="E8" s="10"/>
      <c r="F8" s="10" t="s">
        <v>3</v>
      </c>
      <c r="G8" s="10" t="s">
        <v>4</v>
      </c>
      <c r="H8" s="10" t="s">
        <v>5</v>
      </c>
      <c r="I8" s="10"/>
      <c r="J8" s="11" t="s">
        <v>6</v>
      </c>
      <c r="K8" s="5"/>
    </row>
    <row r="9" customFormat="false" ht="12" hidden="false" customHeight="true" outlineLevel="0" collapsed="false">
      <c r="A9" s="12"/>
      <c r="B9" s="13"/>
      <c r="C9" s="14" t="s">
        <v>7</v>
      </c>
      <c r="D9" s="14" t="s">
        <v>8</v>
      </c>
      <c r="E9" s="14" t="s">
        <v>9</v>
      </c>
      <c r="F9" s="14" t="s">
        <v>10</v>
      </c>
      <c r="G9" s="14" t="s">
        <v>6</v>
      </c>
      <c r="H9" s="14" t="s">
        <v>4</v>
      </c>
      <c r="I9" s="14" t="s">
        <v>11</v>
      </c>
      <c r="J9" s="15" t="s">
        <v>12</v>
      </c>
      <c r="K9" s="5"/>
    </row>
    <row r="10" customFormat="false" ht="12" hidden="false" customHeight="true" outlineLevel="0" collapsed="false">
      <c r="A10" s="16" t="s">
        <v>13</v>
      </c>
      <c r="B10" s="17" t="s">
        <v>14</v>
      </c>
      <c r="C10" s="18" t="s">
        <v>15</v>
      </c>
      <c r="D10" s="18" t="s">
        <v>16</v>
      </c>
      <c r="E10" s="18" t="s">
        <v>17</v>
      </c>
      <c r="F10" s="18" t="s">
        <v>18</v>
      </c>
      <c r="G10" s="18" t="s">
        <v>18</v>
      </c>
      <c r="H10" s="18" t="s">
        <v>18</v>
      </c>
      <c r="I10" s="18" t="s">
        <v>17</v>
      </c>
      <c r="J10" s="19" t="s">
        <v>19</v>
      </c>
      <c r="K10" s="5"/>
    </row>
    <row r="11" customFormat="false" ht="12" hidden="false" customHeight="true" outlineLevel="0" collapsed="false">
      <c r="A11" s="12" t="s">
        <v>20</v>
      </c>
      <c r="B11" s="20" t="n">
        <f aca="false">BillDet!B6</f>
        <v>694603.898179944</v>
      </c>
      <c r="C11" s="21" t="n">
        <f aca="false">B11/B$15</f>
        <v>0.18173898057175</v>
      </c>
      <c r="D11" s="22" t="n">
        <f aca="false">BillDet!I6/1000000</f>
        <v>1622.68567373422</v>
      </c>
      <c r="E11" s="23" t="n">
        <f aca="false">Prices!E6*100</f>
        <v>11.4301</v>
      </c>
      <c r="F11" s="24" t="n">
        <f aca="false">BillDet!J35/1000</f>
        <v>185474.595193495</v>
      </c>
      <c r="G11" s="24" t="n">
        <f aca="false">H11-F11</f>
        <v>0</v>
      </c>
      <c r="H11" s="24" t="n">
        <f aca="false">BillDet!I35/1000</f>
        <v>185474.595193495</v>
      </c>
      <c r="I11" s="25" t="n">
        <f aca="false">Prices!E6*100</f>
        <v>11.4301</v>
      </c>
      <c r="J11" s="26" t="n">
        <f aca="false">G11/F11</f>
        <v>0</v>
      </c>
      <c r="K11" s="5"/>
    </row>
    <row r="12" customFormat="false" ht="12" hidden="false" customHeight="true" outlineLevel="0" collapsed="false">
      <c r="A12" s="12" t="s">
        <v>21</v>
      </c>
      <c r="B12" s="20" t="n">
        <f aca="false">BillDet!B7</f>
        <v>437099.235656871</v>
      </c>
      <c r="C12" s="21" t="n">
        <f aca="false">B12/B$15</f>
        <v>0.11436441647552</v>
      </c>
      <c r="D12" s="22" t="n">
        <f aca="false">BillDet!I7/1000000</f>
        <v>1697.40108260819</v>
      </c>
      <c r="E12" s="23" t="n">
        <f aca="false">Prices!E7*100</f>
        <v>12.9889</v>
      </c>
      <c r="F12" s="24" t="n">
        <f aca="false">BillDet!J36/1000</f>
        <v>195019.809932916</v>
      </c>
      <c r="G12" s="24" t="n">
        <f aca="false">H12-F12</f>
        <v>0</v>
      </c>
      <c r="H12" s="24" t="n">
        <f aca="false">BillDet!I36/1000</f>
        <v>195019.809932916</v>
      </c>
      <c r="I12" s="25" t="n">
        <f aca="false">Prices!E7*100</f>
        <v>12.9889</v>
      </c>
      <c r="J12" s="26" t="n">
        <f aca="false">G12/F12</f>
        <v>0</v>
      </c>
      <c r="K12" s="5"/>
    </row>
    <row r="13" customFormat="false" ht="12" hidden="false" customHeight="true" outlineLevel="0" collapsed="false">
      <c r="A13" s="12" t="s">
        <v>22</v>
      </c>
      <c r="B13" s="20" t="n">
        <f aca="false">BillDet!B8</f>
        <v>952011.724101631</v>
      </c>
      <c r="C13" s="21" t="n">
        <f aca="false">B13/B$15</f>
        <v>0.249088207946915</v>
      </c>
      <c r="D13" s="22" t="n">
        <f aca="false">BillDet!I8/1000000</f>
        <v>5133.44180143816</v>
      </c>
      <c r="E13" s="23" t="n">
        <f aca="false">E12</f>
        <v>12.9889</v>
      </c>
      <c r="F13" s="24" t="n">
        <f aca="false">BillDet!J37/1000</f>
        <v>604447.830691118</v>
      </c>
      <c r="G13" s="24" t="n">
        <f aca="false">H13-F13</f>
        <v>26728.9674366529</v>
      </c>
      <c r="H13" s="24" t="n">
        <f aca="false">BillDet!I37/1000</f>
        <v>631176.798127771</v>
      </c>
      <c r="I13" s="25" t="n">
        <f aca="false">Prices!E8*100</f>
        <v>19.4889</v>
      </c>
      <c r="J13" s="26" t="n">
        <f aca="false">G13/F13</f>
        <v>0.0442204704516704</v>
      </c>
      <c r="K13" s="27"/>
    </row>
    <row r="14" customFormat="false" ht="12" hidden="false" customHeight="true" outlineLevel="0" collapsed="false">
      <c r="A14" s="16" t="s">
        <v>23</v>
      </c>
      <c r="B14" s="28" t="n">
        <f aca="false">BillDet!B9</f>
        <v>1738271.4654949</v>
      </c>
      <c r="C14" s="29" t="n">
        <f aca="false">B14/B$15</f>
        <v>0.454808395005816</v>
      </c>
      <c r="D14" s="30" t="n">
        <f aca="false">BillDet!I9/1000000</f>
        <v>18361.0441389546</v>
      </c>
      <c r="E14" s="31" t="n">
        <f aca="false">E13</f>
        <v>12.9889</v>
      </c>
      <c r="F14" s="32" t="n">
        <f aca="false">BillDet!J38/1000</f>
        <v>2265136.07301159</v>
      </c>
      <c r="G14" s="32" t="n">
        <f aca="false">H14-F14</f>
        <v>999433.194802629</v>
      </c>
      <c r="H14" s="32" t="n">
        <f aca="false">BillDet!I38/1000</f>
        <v>3264569.26781421</v>
      </c>
      <c r="I14" s="33" t="n">
        <f aca="false">Prices!E9*100</f>
        <v>28.8886719565916</v>
      </c>
      <c r="J14" s="34" t="n">
        <f aca="false">G14/F14</f>
        <v>0.441224351468583</v>
      </c>
      <c r="K14" s="27"/>
    </row>
    <row r="15" customFormat="false" ht="12" hidden="false" customHeight="true" outlineLevel="0" collapsed="false">
      <c r="A15" s="35" t="s">
        <v>24</v>
      </c>
      <c r="B15" s="36" t="n">
        <f aca="false">SUM(B11:B14)</f>
        <v>3821986.32343334</v>
      </c>
      <c r="C15" s="37" t="n">
        <f aca="false">SUM(C11:C14)</f>
        <v>1</v>
      </c>
      <c r="D15" s="38" t="n">
        <f aca="false">SUM(D11:D14)</f>
        <v>26814.5726967351</v>
      </c>
      <c r="E15" s="39" t="n">
        <f aca="false">F15/D15/10</f>
        <v>12.1205672213633</v>
      </c>
      <c r="F15" s="40" t="n">
        <f aca="false">SUM(F11:F14)</f>
        <v>3250078.30882911</v>
      </c>
      <c r="G15" s="40" t="n">
        <f aca="false">SUM(G11:G14)</f>
        <v>1026162.16223928</v>
      </c>
      <c r="H15" s="40" t="n">
        <f aca="false">SUM(H11:H14)</f>
        <v>4276240.4710684</v>
      </c>
      <c r="I15" s="41" t="n">
        <f aca="false">H15/D15/10</f>
        <v>15.9474496179052</v>
      </c>
      <c r="J15" s="42" t="n">
        <f aca="false">G15/F15</f>
        <v>0.315734596133153</v>
      </c>
      <c r="K15" s="27"/>
    </row>
    <row r="16" customFormat="false" ht="11.25" hidden="false" customHeight="false" outlineLevel="0" collapsed="false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customFormat="false" ht="11.25" hidden="false" customHeight="false" outlineLevel="0" collapsed="false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customFormat="false" ht="11.25" hidden="false" customHeight="false" outlineLevel="0" collapsed="false">
      <c r="A18" s="5"/>
      <c r="B18" s="43"/>
      <c r="C18" s="5"/>
      <c r="D18" s="5"/>
      <c r="E18" s="5"/>
      <c r="F18" s="5"/>
      <c r="G18" s="5"/>
      <c r="H18" s="5"/>
      <c r="I18" s="5"/>
      <c r="J18" s="5"/>
      <c r="K18" s="5"/>
    </row>
    <row r="19" customFormat="false" ht="12.75" hidden="false" customHeight="false" outlineLevel="0" collapsed="false">
      <c r="A19" s="4" t="s">
        <v>25</v>
      </c>
      <c r="B19" s="4"/>
      <c r="C19" s="4"/>
      <c r="D19" s="4"/>
      <c r="E19" s="4"/>
      <c r="F19" s="4"/>
      <c r="G19" s="4"/>
      <c r="H19" s="4"/>
      <c r="I19" s="4"/>
      <c r="J19" s="5"/>
      <c r="K19" s="5"/>
    </row>
    <row r="20" customFormat="false" ht="12" hidden="false" customHeight="false" outlineLevel="0" collapsed="false">
      <c r="A20" s="44" t="s">
        <v>2</v>
      </c>
      <c r="B20" s="44"/>
      <c r="C20" s="44"/>
      <c r="D20" s="44"/>
      <c r="E20" s="44"/>
      <c r="F20" s="44"/>
      <c r="G20" s="44"/>
      <c r="H20" s="44"/>
      <c r="I20" s="44"/>
      <c r="J20" s="7"/>
      <c r="K20" s="7"/>
    </row>
    <row r="21" customFormat="false" ht="12" hidden="false" customHeight="true" outlineLevel="0" collapsed="false">
      <c r="A21" s="8"/>
      <c r="B21" s="9"/>
      <c r="C21" s="10"/>
      <c r="D21" s="10"/>
      <c r="E21" s="10"/>
      <c r="F21" s="10" t="s">
        <v>3</v>
      </c>
      <c r="G21" s="10" t="s">
        <v>4</v>
      </c>
      <c r="H21" s="10" t="s">
        <v>5</v>
      </c>
      <c r="I21" s="10"/>
      <c r="J21" s="11" t="s">
        <v>6</v>
      </c>
      <c r="K21" s="5"/>
    </row>
    <row r="22" customFormat="false" ht="12" hidden="false" customHeight="true" outlineLevel="0" collapsed="false">
      <c r="A22" s="12"/>
      <c r="B22" s="13"/>
      <c r="C22" s="14" t="s">
        <v>7</v>
      </c>
      <c r="D22" s="14" t="s">
        <v>8</v>
      </c>
      <c r="E22" s="14" t="s">
        <v>9</v>
      </c>
      <c r="F22" s="14" t="s">
        <v>10</v>
      </c>
      <c r="G22" s="14" t="s">
        <v>6</v>
      </c>
      <c r="H22" s="14" t="s">
        <v>4</v>
      </c>
      <c r="I22" s="14" t="s">
        <v>11</v>
      </c>
      <c r="J22" s="15" t="s">
        <v>12</v>
      </c>
      <c r="K22" s="5"/>
    </row>
    <row r="23" customFormat="false" ht="12" hidden="false" customHeight="true" outlineLevel="0" collapsed="false">
      <c r="A23" s="16" t="s">
        <v>13</v>
      </c>
      <c r="B23" s="17" t="s">
        <v>14</v>
      </c>
      <c r="C23" s="18" t="s">
        <v>15</v>
      </c>
      <c r="D23" s="18" t="s">
        <v>16</v>
      </c>
      <c r="E23" s="18" t="s">
        <v>17</v>
      </c>
      <c r="F23" s="18" t="s">
        <v>18</v>
      </c>
      <c r="G23" s="18" t="s">
        <v>18</v>
      </c>
      <c r="H23" s="18" t="s">
        <v>18</v>
      </c>
      <c r="I23" s="18" t="s">
        <v>17</v>
      </c>
      <c r="J23" s="19" t="s">
        <v>19</v>
      </c>
      <c r="K23" s="5"/>
    </row>
    <row r="24" customFormat="false" ht="12" hidden="false" customHeight="true" outlineLevel="0" collapsed="false">
      <c r="A24" s="12" t="s">
        <v>20</v>
      </c>
      <c r="B24" s="20" t="n">
        <f aca="false">BillDet!B19</f>
        <v>85681.3170360488</v>
      </c>
      <c r="C24" s="21" t="n">
        <f aca="false">B24/B$28</f>
        <v>0.274187724999036</v>
      </c>
      <c r="D24" s="22" t="n">
        <f aca="false">BillDet!I19/1000000</f>
        <v>264.237239871369</v>
      </c>
      <c r="E24" s="23" t="n">
        <f aca="false">Prices!C19*100</f>
        <v>8.8308</v>
      </c>
      <c r="F24" s="24" t="n">
        <f aca="false">BillDet!J19/1000</f>
        <v>23334.2621785608</v>
      </c>
      <c r="G24" s="24" t="n">
        <f aca="false">H24-F24</f>
        <v>0</v>
      </c>
      <c r="H24" s="24" t="n">
        <f aca="false">F24</f>
        <v>23334.2621785608</v>
      </c>
      <c r="I24" s="23" t="n">
        <f aca="false">E24</f>
        <v>8.8308</v>
      </c>
      <c r="J24" s="26" t="n">
        <f aca="false">G24/F24</f>
        <v>0</v>
      </c>
      <c r="K24" s="5"/>
    </row>
    <row r="25" customFormat="false" ht="12" hidden="false" customHeight="true" outlineLevel="0" collapsed="false">
      <c r="A25" s="12" t="s">
        <v>21</v>
      </c>
      <c r="B25" s="20" t="n">
        <f aca="false">BillDet!B20</f>
        <v>48272.6919005578</v>
      </c>
      <c r="C25" s="21" t="n">
        <f aca="false">B25/B$28</f>
        <v>0.15447684547408</v>
      </c>
      <c r="D25" s="22" t="n">
        <f aca="false">BillDet!I20/1000000</f>
        <v>291.641748648115</v>
      </c>
      <c r="E25" s="23" t="n">
        <f aca="false">Prices!C20*100</f>
        <v>10.1556</v>
      </c>
      <c r="F25" s="24" t="n">
        <f aca="false">BillDet!J20/1000</f>
        <v>25922.8911910787</v>
      </c>
      <c r="G25" s="24" t="n">
        <f aca="false">H25-F25</f>
        <v>0</v>
      </c>
      <c r="H25" s="24" t="n">
        <f aca="false">F25</f>
        <v>25922.8911910787</v>
      </c>
      <c r="I25" s="23" t="n">
        <f aca="false">E25</f>
        <v>10.1556</v>
      </c>
      <c r="J25" s="26" t="n">
        <f aca="false">G25/F25</f>
        <v>0</v>
      </c>
      <c r="K25" s="5"/>
    </row>
    <row r="26" customFormat="false" ht="12" hidden="false" customHeight="true" outlineLevel="0" collapsed="false">
      <c r="A26" s="12" t="s">
        <v>22</v>
      </c>
      <c r="B26" s="20" t="n">
        <f aca="false">BillDet!B21</f>
        <v>84821.4367768657</v>
      </c>
      <c r="C26" s="21" t="n">
        <f aca="false">B26/B$28</f>
        <v>0.271436032795965</v>
      </c>
      <c r="D26" s="22" t="n">
        <f aca="false">BillDet!I21/1000000</f>
        <v>613.533894666368</v>
      </c>
      <c r="E26" s="23" t="n">
        <f aca="false">E25</f>
        <v>10.1556</v>
      </c>
      <c r="F26" s="24" t="n">
        <f aca="false">BillDet!J21/1000</f>
        <v>55873.5961274286</v>
      </c>
      <c r="G26" s="24" t="n">
        <f aca="false">H26-F26</f>
        <v>0</v>
      </c>
      <c r="H26" s="24" t="n">
        <f aca="false">F26</f>
        <v>55873.5961274286</v>
      </c>
      <c r="I26" s="23" t="n">
        <f aca="false">E26</f>
        <v>10.1556</v>
      </c>
      <c r="J26" s="26" t="n">
        <f aca="false">G26/F26</f>
        <v>0</v>
      </c>
      <c r="K26" s="5"/>
    </row>
    <row r="27" customFormat="false" ht="12" hidden="false" customHeight="true" outlineLevel="0" collapsed="false">
      <c r="A27" s="16" t="s">
        <v>23</v>
      </c>
      <c r="B27" s="28" t="n">
        <f aca="false">BillDet!B22</f>
        <v>93715.9943623006</v>
      </c>
      <c r="C27" s="29" t="n">
        <f aca="false">B27/B$28</f>
        <v>0.29989939673092</v>
      </c>
      <c r="D27" s="30" t="n">
        <f aca="false">BillDet!I22/1000000</f>
        <v>863.640736485277</v>
      </c>
      <c r="E27" s="31" t="n">
        <f aca="false">E26</f>
        <v>10.1556</v>
      </c>
      <c r="F27" s="32" t="n">
        <f aca="false">BillDet!J22/1000</f>
        <v>81858.566807695</v>
      </c>
      <c r="G27" s="32" t="n">
        <f aca="false">H27-F27</f>
        <v>0</v>
      </c>
      <c r="H27" s="32" t="n">
        <f aca="false">F27</f>
        <v>81858.566807695</v>
      </c>
      <c r="I27" s="31" t="n">
        <f aca="false">E27</f>
        <v>10.1556</v>
      </c>
      <c r="J27" s="34" t="n">
        <f aca="false">G27/F27</f>
        <v>0</v>
      </c>
      <c r="K27" s="5"/>
    </row>
    <row r="28" customFormat="false" ht="12" hidden="false" customHeight="true" outlineLevel="0" collapsed="false">
      <c r="A28" s="35" t="s">
        <v>24</v>
      </c>
      <c r="B28" s="36" t="n">
        <f aca="false">SUM(B24:B27)</f>
        <v>312491.440075773</v>
      </c>
      <c r="C28" s="37" t="n">
        <f aca="false">SUM(C24:C27)</f>
        <v>1</v>
      </c>
      <c r="D28" s="38" t="n">
        <f aca="false">SUM(D24:D27)</f>
        <v>2033.05361967113</v>
      </c>
      <c r="E28" s="39" t="n">
        <f aca="false">F28/D28/10</f>
        <v>9.19746112426739</v>
      </c>
      <c r="F28" s="40" t="n">
        <f aca="false">SUM(F24:F27)</f>
        <v>186989.316304763</v>
      </c>
      <c r="G28" s="40" t="n">
        <f aca="false">H28-F28</f>
        <v>0</v>
      </c>
      <c r="H28" s="40" t="n">
        <f aca="false">SUM(H24:H27)</f>
        <v>186989.316304763</v>
      </c>
      <c r="I28" s="41" t="n">
        <f aca="false">H28/D28/10</f>
        <v>9.19746112426739</v>
      </c>
      <c r="J28" s="45" t="n">
        <f aca="false">SUM(J24:J27)</f>
        <v>0</v>
      </c>
      <c r="K28" s="5"/>
    </row>
    <row r="30" customFormat="false" ht="11.25" hidden="false" customHeight="false" outlineLevel="0" collapsed="false">
      <c r="A30" s="5"/>
      <c r="B30" s="43"/>
      <c r="C30" s="43"/>
      <c r="D30" s="43"/>
      <c r="E30" s="43"/>
      <c r="F30" s="43"/>
      <c r="G30" s="43"/>
      <c r="H30" s="43"/>
      <c r="I30" s="43"/>
      <c r="J30" s="5"/>
      <c r="K30" s="5"/>
    </row>
    <row r="32" customFormat="false" ht="12.75" hidden="false" customHeight="false" outlineLevel="0" collapsed="false">
      <c r="A32" s="4" t="s">
        <v>26</v>
      </c>
      <c r="B32" s="4"/>
      <c r="C32" s="4"/>
      <c r="D32" s="4"/>
      <c r="E32" s="4"/>
      <c r="F32" s="4"/>
      <c r="G32" s="4"/>
      <c r="H32" s="4"/>
      <c r="I32" s="4"/>
      <c r="J32" s="5"/>
      <c r="K32" s="5"/>
    </row>
    <row r="33" customFormat="false" ht="12" hidden="false" customHeight="false" outlineLevel="0" collapsed="false">
      <c r="A33" s="44" t="s">
        <v>27</v>
      </c>
      <c r="B33" s="44"/>
      <c r="C33" s="44"/>
      <c r="D33" s="44"/>
      <c r="E33" s="44"/>
      <c r="F33" s="44"/>
      <c r="G33" s="44"/>
      <c r="H33" s="44"/>
      <c r="I33" s="44"/>
      <c r="J33" s="7"/>
      <c r="K33" s="7"/>
    </row>
    <row r="34" customFormat="false" ht="12" hidden="false" customHeight="true" outlineLevel="0" collapsed="false">
      <c r="A34" s="46"/>
      <c r="B34" s="47"/>
      <c r="C34" s="9"/>
      <c r="D34" s="10"/>
      <c r="E34" s="10"/>
      <c r="F34" s="10" t="s">
        <v>3</v>
      </c>
      <c r="G34" s="10" t="s">
        <v>4</v>
      </c>
      <c r="H34" s="10" t="s">
        <v>5</v>
      </c>
      <c r="I34" s="11" t="s">
        <v>6</v>
      </c>
      <c r="J34" s="5"/>
      <c r="K34" s="5"/>
    </row>
    <row r="35" customFormat="false" ht="12" hidden="false" customHeight="true" outlineLevel="0" collapsed="false">
      <c r="A35" s="13"/>
      <c r="B35" s="48"/>
      <c r="C35" s="13"/>
      <c r="D35" s="14" t="s">
        <v>7</v>
      </c>
      <c r="E35" s="14" t="s">
        <v>8</v>
      </c>
      <c r="F35" s="14" t="s">
        <v>10</v>
      </c>
      <c r="G35" s="14" t="s">
        <v>6</v>
      </c>
      <c r="H35" s="14" t="s">
        <v>4</v>
      </c>
      <c r="I35" s="15" t="s">
        <v>12</v>
      </c>
      <c r="J35" s="5"/>
      <c r="K35" s="5"/>
    </row>
    <row r="36" customFormat="false" ht="12" hidden="false" customHeight="true" outlineLevel="0" collapsed="false">
      <c r="A36" s="17" t="s">
        <v>13</v>
      </c>
      <c r="B36" s="48"/>
      <c r="C36" s="17" t="s">
        <v>14</v>
      </c>
      <c r="D36" s="18" t="s">
        <v>15</v>
      </c>
      <c r="E36" s="18" t="s">
        <v>16</v>
      </c>
      <c r="F36" s="18" t="s">
        <v>18</v>
      </c>
      <c r="G36" s="18" t="s">
        <v>18</v>
      </c>
      <c r="H36" s="18" t="s">
        <v>18</v>
      </c>
      <c r="I36" s="19" t="s">
        <v>19</v>
      </c>
      <c r="J36" s="5"/>
      <c r="K36" s="5"/>
    </row>
    <row r="37" customFormat="false" ht="12" hidden="false" customHeight="true" outlineLevel="0" collapsed="false">
      <c r="A37" s="49" t="s">
        <v>28</v>
      </c>
      <c r="B37" s="48"/>
      <c r="C37" s="50" t="n">
        <f aca="false">B11+B24</f>
        <v>780285.215215993</v>
      </c>
      <c r="D37" s="21" t="n">
        <f aca="false">C37/C$42</f>
        <v>0.188726426854387</v>
      </c>
      <c r="E37" s="22" t="n">
        <f aca="false">D11+D24</f>
        <v>1886.92291360559</v>
      </c>
      <c r="F37" s="24" t="n">
        <f aca="false">F11+F24</f>
        <v>208808.857372056</v>
      </c>
      <c r="G37" s="24" t="n">
        <f aca="false">H37-F37</f>
        <v>0</v>
      </c>
      <c r="H37" s="24" t="n">
        <f aca="false">H11+H24</f>
        <v>208808.857372056</v>
      </c>
      <c r="I37" s="26" t="n">
        <f aca="false">G37/F37</f>
        <v>0</v>
      </c>
      <c r="J37" s="5"/>
      <c r="K37" s="5"/>
    </row>
    <row r="38" customFormat="false" ht="12" hidden="false" customHeight="true" outlineLevel="0" collapsed="false">
      <c r="A38" s="49" t="s">
        <v>29</v>
      </c>
      <c r="B38" s="48"/>
      <c r="C38" s="50" t="n">
        <f aca="false">B12+B25+B26+B27</f>
        <v>663909.358696595</v>
      </c>
      <c r="D38" s="21" t="n">
        <f aca="false">C38/C$42</f>
        <v>0.160578771170632</v>
      </c>
      <c r="E38" s="22" t="n">
        <f aca="false">D12+D25+D26+D27</f>
        <v>3466.21746240795</v>
      </c>
      <c r="F38" s="24" t="n">
        <f aca="false">F12+F25+F26+F27</f>
        <v>358674.864059118</v>
      </c>
      <c r="G38" s="24" t="n">
        <f aca="false">H38-F38</f>
        <v>0</v>
      </c>
      <c r="H38" s="24" t="n">
        <f aca="false">H12+H25+H26+H27</f>
        <v>358674.864059118</v>
      </c>
      <c r="I38" s="26" t="n">
        <f aca="false">G38/F38</f>
        <v>0</v>
      </c>
      <c r="J38" s="5"/>
      <c r="K38" s="5"/>
    </row>
    <row r="39" customFormat="false" ht="12" hidden="false" customHeight="true" outlineLevel="0" collapsed="false">
      <c r="A39" s="49" t="s">
        <v>22</v>
      </c>
      <c r="B39" s="48"/>
      <c r="C39" s="50" t="n">
        <f aca="false">B13</f>
        <v>952011.724101631</v>
      </c>
      <c r="D39" s="21" t="n">
        <f aca="false">C39/C$42</f>
        <v>0.230261662670938</v>
      </c>
      <c r="E39" s="22" t="n">
        <f aca="false">D13</f>
        <v>5133.44180143816</v>
      </c>
      <c r="F39" s="24" t="n">
        <f aca="false">F13</f>
        <v>604447.830691118</v>
      </c>
      <c r="G39" s="24" t="n">
        <f aca="false">H39-F39</f>
        <v>26728.9674366529</v>
      </c>
      <c r="H39" s="24" t="n">
        <f aca="false">H13</f>
        <v>631176.798127771</v>
      </c>
      <c r="I39" s="26" t="n">
        <f aca="false">G39/F39</f>
        <v>0.0442204704516704</v>
      </c>
      <c r="J39" s="5"/>
      <c r="K39" s="5"/>
    </row>
    <row r="40" customFormat="false" ht="12" hidden="false" customHeight="true" outlineLevel="0" collapsed="false">
      <c r="A40" s="49" t="s">
        <v>30</v>
      </c>
      <c r="B40" s="48"/>
      <c r="C40" s="50" t="n">
        <f aca="false">'GT200%Rev'!M13/'GT200%Rev'!M$20*B$14</f>
        <v>903307.957176679</v>
      </c>
      <c r="D40" s="21" t="n">
        <f aca="false">C40/C$42</f>
        <v>0.218481754854089</v>
      </c>
      <c r="E40" s="22" t="n">
        <f aca="false">'GT200%Rev'!J31/'GT200%Rev'!J$38*D$14</f>
        <v>7164.02403299574</v>
      </c>
      <c r="F40" s="24" t="n">
        <f aca="false">'GT200%Rev'!K13/'GT200%Rev'!K$20*F$14</f>
        <v>866639.051528924</v>
      </c>
      <c r="G40" s="24" t="n">
        <f aca="false">H40-F40</f>
        <v>184644.589354454</v>
      </c>
      <c r="H40" s="24" t="n">
        <f aca="false">'GT200%Rev'!J13/'GT200%Rev'!J$20*H$14</f>
        <v>1051283.64088338</v>
      </c>
      <c r="I40" s="26" t="n">
        <f aca="false">G40/F40</f>
        <v>0.213058238061975</v>
      </c>
      <c r="J40" s="5"/>
      <c r="K40" s="5"/>
    </row>
    <row r="41" customFormat="false" ht="12" hidden="false" customHeight="true" outlineLevel="0" collapsed="false">
      <c r="A41" s="51" t="s">
        <v>31</v>
      </c>
      <c r="B41" s="48"/>
      <c r="C41" s="52" t="n">
        <f aca="false">'GT200%Rev'!M19/'GT200%Rev'!M$20*B$14</f>
        <v>834963.508318217</v>
      </c>
      <c r="D41" s="29" t="n">
        <f aca="false">C41/C$42</f>
        <v>0.201951384449954</v>
      </c>
      <c r="E41" s="30" t="n">
        <f aca="false">'GT200%Rev'!J37/'GT200%Rev'!J$38*D$14</f>
        <v>11197.0201059588</v>
      </c>
      <c r="F41" s="32" t="n">
        <f aca="false">'GT200%Rev'!K19/'GT200%Rev'!K$20*F$14</f>
        <v>1398497.02148266</v>
      </c>
      <c r="G41" s="32" t="n">
        <f aca="false">H41-F41</f>
        <v>814788.605448175</v>
      </c>
      <c r="H41" s="32" t="n">
        <f aca="false">'GT200%Rev'!J19/'GT200%Rev'!J$20*H$14</f>
        <v>2213285.62693084</v>
      </c>
      <c r="I41" s="34" t="n">
        <f aca="false">G41/F41</f>
        <v>0.582617333417236</v>
      </c>
      <c r="J41" s="5"/>
      <c r="K41" s="5"/>
    </row>
    <row r="42" customFormat="false" ht="12" hidden="false" customHeight="true" outlineLevel="0" collapsed="false">
      <c r="A42" s="53" t="s">
        <v>24</v>
      </c>
      <c r="B42" s="54"/>
      <c r="C42" s="36" t="n">
        <f aca="false">SUM(C37:C41)</f>
        <v>4134477.76350911</v>
      </c>
      <c r="D42" s="37" t="n">
        <f aca="false">SUM(D37:D41)</f>
        <v>1</v>
      </c>
      <c r="E42" s="38" t="n">
        <f aca="false">SUM(E37:E41)</f>
        <v>28847.6263164062</v>
      </c>
      <c r="F42" s="40" t="n">
        <f aca="false">SUM(F37:F41)</f>
        <v>3437067.62513388</v>
      </c>
      <c r="G42" s="40" t="n">
        <f aca="false">SUM(G37:G41)</f>
        <v>1026162.16223928</v>
      </c>
      <c r="H42" s="40" t="n">
        <f aca="false">SUM(H37:H41)</f>
        <v>4463229.78737316</v>
      </c>
      <c r="I42" s="42" t="n">
        <f aca="false">G42/F42</f>
        <v>0.298557454830209</v>
      </c>
      <c r="J42" s="5"/>
      <c r="K42" s="5"/>
    </row>
    <row r="44" customFormat="false" ht="12.75" hidden="false" customHeight="false" outlineLevel="0" collapsed="false">
      <c r="A44" s="55" t="s">
        <v>32</v>
      </c>
    </row>
  </sheetData>
  <mergeCells count="7">
    <mergeCell ref="A2:J2"/>
    <mergeCell ref="A6:I6"/>
    <mergeCell ref="A7:I7"/>
    <mergeCell ref="A19:I19"/>
    <mergeCell ref="A20:I20"/>
    <mergeCell ref="A32:I32"/>
    <mergeCell ref="A33:I33"/>
  </mergeCells>
  <printOptions headings="tru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&amp;CPacific Gas and Electric Company
Rate Design Workpapers
3 Cent Surcharge</oddHeader>
    <oddFooter>&amp;L&amp;D  &amp;T&amp;R&amp;F  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" width="16.56"/>
    <col collapsed="false" customWidth="true" hidden="false" outlineLevel="0" max="2" min="2" style="7" width="10.28"/>
    <col collapsed="false" customWidth="true" hidden="false" outlineLevel="0" max="3" min="3" style="7" width="8.99"/>
    <col collapsed="false" customWidth="true" hidden="false" outlineLevel="0" max="4" min="4" style="7" width="10.71"/>
    <col collapsed="false" customWidth="true" hidden="false" outlineLevel="0" max="5" min="5" style="7" width="10.28"/>
    <col collapsed="false" customWidth="true" hidden="false" outlineLevel="0" max="6" min="6" style="7" width="8.99"/>
    <col collapsed="false" customWidth="true" hidden="false" outlineLevel="0" max="7" min="7" style="7" width="10.71"/>
  </cols>
  <sheetData>
    <row r="1" customFormat="false" ht="14.25" hidden="false" customHeight="false" outlineLevel="0" collapsed="false">
      <c r="A1" s="173" t="s">
        <v>184</v>
      </c>
      <c r="B1" s="173"/>
      <c r="C1" s="173"/>
      <c r="D1" s="173"/>
      <c r="E1" s="173"/>
      <c r="F1" s="173"/>
      <c r="G1" s="173"/>
    </row>
    <row r="2" customFormat="false" ht="14.25" hidden="false" customHeight="false" outlineLevel="0" collapsed="false">
      <c r="A2" s="173" t="s">
        <v>185</v>
      </c>
      <c r="B2" s="173"/>
      <c r="C2" s="173"/>
      <c r="D2" s="173"/>
      <c r="E2" s="173"/>
      <c r="F2" s="173"/>
      <c r="G2" s="173"/>
    </row>
    <row r="4" customFormat="false" ht="12.75" hidden="false" customHeight="false" outlineLevel="0" collapsed="false">
      <c r="A4" s="227"/>
      <c r="B4" s="228" t="s">
        <v>91</v>
      </c>
      <c r="C4" s="228"/>
      <c r="D4" s="228"/>
      <c r="E4" s="228" t="s">
        <v>96</v>
      </c>
      <c r="F4" s="228"/>
      <c r="G4" s="228"/>
    </row>
    <row r="5" customFormat="false" ht="12.75" hidden="false" customHeight="false" outlineLevel="0" collapsed="false">
      <c r="A5" s="229"/>
      <c r="B5" s="83" t="s">
        <v>140</v>
      </c>
      <c r="C5" s="6" t="s">
        <v>140</v>
      </c>
      <c r="D5" s="230" t="s">
        <v>182</v>
      </c>
      <c r="E5" s="83" t="s">
        <v>140</v>
      </c>
      <c r="F5" s="6" t="s">
        <v>140</v>
      </c>
      <c r="G5" s="231" t="s">
        <v>182</v>
      </c>
    </row>
    <row r="6" customFormat="false" ht="12.75" hidden="false" customHeight="false" outlineLevel="0" collapsed="false">
      <c r="A6" s="232" t="s">
        <v>13</v>
      </c>
      <c r="B6" s="233" t="s">
        <v>14</v>
      </c>
      <c r="C6" s="61" t="s">
        <v>186</v>
      </c>
      <c r="D6" s="234" t="s">
        <v>173</v>
      </c>
      <c r="E6" s="233" t="s">
        <v>14</v>
      </c>
      <c r="F6" s="61" t="s">
        <v>186</v>
      </c>
      <c r="G6" s="235" t="s">
        <v>173</v>
      </c>
    </row>
    <row r="7" customFormat="false" ht="12.75" hidden="false" customHeight="false" outlineLevel="0" collapsed="false">
      <c r="A7" s="229" t="s">
        <v>187</v>
      </c>
      <c r="B7" s="236" t="n">
        <f aca="false">'130%Baseline'!B114/'130%Baseline'!B$119</f>
        <v>0.296103397047269</v>
      </c>
      <c r="C7" s="237" t="n">
        <f aca="false">'130%Baseline'!F114/'130%Baseline'!F$119</f>
        <v>0.123816508056705</v>
      </c>
      <c r="D7" s="238" t="n">
        <f aca="false">'130%Baseline'!H114</f>
        <v>0</v>
      </c>
      <c r="E7" s="239" t="n">
        <f aca="false">'200%Baseline'!B99/'200%Baseline'!B$104</f>
        <v>0.545191604994184</v>
      </c>
      <c r="F7" s="240" t="n">
        <f aca="false">'200%Baseline'!F99/'200%Baseline'!F$104</f>
        <v>0.315258745809134</v>
      </c>
      <c r="G7" s="238" t="n">
        <f aca="false">'200%Baseline'!H99</f>
        <v>0</v>
      </c>
    </row>
    <row r="8" customFormat="false" ht="12.75" hidden="false" customHeight="false" outlineLevel="0" collapsed="false">
      <c r="A8" s="229" t="s">
        <v>188</v>
      </c>
      <c r="B8" s="236" t="n">
        <f aca="false">'130%Baseline'!B115/'130%Baseline'!B$119</f>
        <v>0.12718875619661</v>
      </c>
      <c r="C8" s="237" t="n">
        <f aca="false">'130%Baseline'!F115/'130%Baseline'!F$119</f>
        <v>0.0845532320849445</v>
      </c>
      <c r="D8" s="238" t="n">
        <f aca="false">'130%Baseline'!H115</f>
        <v>0.0274436230135338</v>
      </c>
      <c r="E8" s="239" t="n">
        <f aca="false">'200%Baseline'!B100/'200%Baseline'!B$104</f>
        <v>0.144421949307027</v>
      </c>
      <c r="F8" s="240" t="n">
        <f aca="false">'200%Baseline'!F100/'200%Baseline'!F$104</f>
        <v>0.145104465726371</v>
      </c>
      <c r="G8" s="238" t="n">
        <f aca="false">'200%Baseline'!H100</f>
        <v>0</v>
      </c>
    </row>
    <row r="9" customFormat="false" ht="12.75" hidden="false" customHeight="false" outlineLevel="0" collapsed="false">
      <c r="A9" s="229" t="s">
        <v>189</v>
      </c>
      <c r="B9" s="236" t="n">
        <f aca="false">'130%Baseline'!B116/'130%Baseline'!B$119</f>
        <v>0.135164280924062</v>
      </c>
      <c r="C9" s="237" t="n">
        <f aca="false">'130%Baseline'!F116/'130%Baseline'!F$119</f>
        <v>0.125827160838998</v>
      </c>
      <c r="D9" s="238" t="n">
        <f aca="false">'130%Baseline'!H116</f>
        <v>0.0881255129173659</v>
      </c>
      <c r="E9" s="239" t="n">
        <f aca="false">'200%Baseline'!B101/'200%Baseline'!B$104</f>
        <v>0.112091237532552</v>
      </c>
      <c r="F9" s="240" t="n">
        <f aca="false">'200%Baseline'!F101/'200%Baseline'!F$104</f>
        <v>0.151301017219453</v>
      </c>
      <c r="G9" s="238" t="n">
        <f aca="false">'200%Baseline'!H101</f>
        <v>0</v>
      </c>
    </row>
    <row r="10" customFormat="false" ht="12.75" hidden="false" customHeight="false" outlineLevel="0" collapsed="false">
      <c r="A10" s="229" t="s">
        <v>190</v>
      </c>
      <c r="B10" s="236" t="n">
        <f aca="false">'130%Baseline'!B117/'130%Baseline'!B$119</f>
        <v>0.144914959671066</v>
      </c>
      <c r="C10" s="237" t="n">
        <f aca="false">'130%Baseline'!F117/'130%Baseline'!F$119</f>
        <v>0.170696085939948</v>
      </c>
      <c r="D10" s="238" t="n">
        <f aca="false">'130%Baseline'!H117</f>
        <v>0.160487034741014</v>
      </c>
      <c r="E10" s="239" t="n">
        <f aca="false">'200%Baseline'!B102/'200%Baseline'!B$104</f>
        <v>0.0869965349394703</v>
      </c>
      <c r="F10" s="240" t="n">
        <f aca="false">'200%Baseline'!F102/'200%Baseline'!F$104</f>
        <v>0.142167259312374</v>
      </c>
      <c r="G10" s="238" t="n">
        <f aca="false">'200%Baseline'!H102</f>
        <v>0</v>
      </c>
    </row>
    <row r="11" customFormat="false" ht="12.75" hidden="false" customHeight="false" outlineLevel="0" collapsed="false">
      <c r="A11" s="232" t="s">
        <v>191</v>
      </c>
      <c r="B11" s="241" t="n">
        <f aca="false">'130%Baseline'!B118/'130%Baseline'!B$119</f>
        <v>0.296628606160993</v>
      </c>
      <c r="C11" s="81" t="n">
        <f aca="false">'130%Baseline'!F118/'130%Baseline'!F$119</f>
        <v>0.495107013079405</v>
      </c>
      <c r="D11" s="238" t="n">
        <f aca="false">'130%Baseline'!H118</f>
        <v>0.274499558125893</v>
      </c>
      <c r="E11" s="242" t="n">
        <f aca="false">'200%Baseline'!B103/'200%Baseline'!B$104</f>
        <v>0.111298673226766</v>
      </c>
      <c r="F11" s="243" t="n">
        <f aca="false">'200%Baseline'!F103/'200%Baseline'!F$104</f>
        <v>0.246168511932668</v>
      </c>
      <c r="G11" s="238" t="n">
        <f aca="false">'200%Baseline'!H103</f>
        <v>0</v>
      </c>
    </row>
    <row r="12" customFormat="false" ht="12.75" hidden="false" customHeight="false" outlineLevel="0" collapsed="false">
      <c r="A12" s="244" t="s">
        <v>88</v>
      </c>
      <c r="B12" s="245" t="n">
        <f aca="false">SUM(B7:B11)</f>
        <v>1</v>
      </c>
      <c r="C12" s="246" t="n">
        <f aca="false">SUM(C7:C11)</f>
        <v>1</v>
      </c>
      <c r="D12" s="247"/>
      <c r="E12" s="245" t="n">
        <f aca="false">SUM(E7:E11)</f>
        <v>1</v>
      </c>
      <c r="F12" s="246" t="n">
        <f aca="false">SUM(F7:F11)</f>
        <v>1</v>
      </c>
      <c r="G12" s="247"/>
    </row>
    <row r="14" customFormat="false" ht="12.75" hidden="false" customHeight="false" outlineLevel="0" collapsed="false">
      <c r="A14" s="5" t="s">
        <v>192</v>
      </c>
    </row>
    <row r="17" customFormat="false" ht="14.25" hidden="false" customHeight="false" outlineLevel="0" collapsed="false">
      <c r="A17" s="173" t="s">
        <v>184</v>
      </c>
      <c r="B17" s="173"/>
      <c r="C17" s="173"/>
      <c r="D17" s="173"/>
      <c r="E17" s="173"/>
      <c r="F17" s="173"/>
      <c r="G17" s="173"/>
    </row>
    <row r="18" customFormat="false" ht="14.25" hidden="false" customHeight="false" outlineLevel="0" collapsed="false">
      <c r="A18" s="173" t="s">
        <v>193</v>
      </c>
      <c r="B18" s="173"/>
      <c r="C18" s="173"/>
      <c r="D18" s="173"/>
      <c r="E18" s="173"/>
      <c r="F18" s="173"/>
      <c r="G18" s="173"/>
    </row>
    <row r="20" customFormat="false" ht="12.75" hidden="false" customHeight="false" outlineLevel="0" collapsed="false">
      <c r="A20" s="227"/>
      <c r="B20" s="228" t="s">
        <v>91</v>
      </c>
      <c r="C20" s="228"/>
      <c r="D20" s="228"/>
      <c r="E20" s="228" t="s">
        <v>96</v>
      </c>
      <c r="F20" s="228"/>
      <c r="G20" s="228"/>
    </row>
    <row r="21" customFormat="false" ht="12.75" hidden="false" customHeight="false" outlineLevel="0" collapsed="false">
      <c r="A21" s="229"/>
      <c r="B21" s="83" t="s">
        <v>140</v>
      </c>
      <c r="C21" s="6" t="s">
        <v>140</v>
      </c>
      <c r="D21" s="231" t="s">
        <v>182</v>
      </c>
      <c r="E21" s="83" t="s">
        <v>140</v>
      </c>
      <c r="F21" s="6" t="s">
        <v>140</v>
      </c>
      <c r="G21" s="231" t="s">
        <v>182</v>
      </c>
    </row>
    <row r="22" customFormat="false" ht="12.75" hidden="false" customHeight="false" outlineLevel="0" collapsed="false">
      <c r="A22" s="232" t="s">
        <v>13</v>
      </c>
      <c r="B22" s="233" t="s">
        <v>14</v>
      </c>
      <c r="C22" s="61" t="s">
        <v>186</v>
      </c>
      <c r="D22" s="235" t="s">
        <v>173</v>
      </c>
      <c r="E22" s="233" t="s">
        <v>14</v>
      </c>
      <c r="F22" s="61" t="s">
        <v>186</v>
      </c>
      <c r="G22" s="235" t="s">
        <v>173</v>
      </c>
    </row>
    <row r="23" customFormat="false" ht="12.75" hidden="false" customHeight="false" outlineLevel="0" collapsed="false">
      <c r="A23" s="229" t="s">
        <v>187</v>
      </c>
      <c r="B23" s="236" t="e">
        <f aca="false">#REF!/#REF!</f>
        <v>#REF!</v>
      </c>
      <c r="C23" s="237" t="n">
        <f aca="false">C7</f>
        <v>0.123816508056705</v>
      </c>
      <c r="D23" s="238" t="e">
        <f aca="false">#REF!</f>
        <v>#REF!</v>
      </c>
      <c r="E23" s="239" t="e">
        <f aca="false">#REF!/#REF!</f>
        <v>#REF!</v>
      </c>
      <c r="F23" s="237" t="n">
        <f aca="false">F7</f>
        <v>0.315258745809134</v>
      </c>
      <c r="G23" s="238" t="e">
        <f aca="false">#REF!</f>
        <v>#REF!</v>
      </c>
    </row>
    <row r="24" customFormat="false" ht="12.75" hidden="false" customHeight="false" outlineLevel="0" collapsed="false">
      <c r="A24" s="229" t="s">
        <v>188</v>
      </c>
      <c r="B24" s="236" t="e">
        <f aca="false">#REF!/#REF!</f>
        <v>#REF!</v>
      </c>
      <c r="C24" s="237" t="n">
        <f aca="false">C8</f>
        <v>0.0845532320849445</v>
      </c>
      <c r="D24" s="238" t="e">
        <f aca="false">#REF!</f>
        <v>#REF!</v>
      </c>
      <c r="E24" s="239" t="e">
        <f aca="false">#REF!/#REF!</f>
        <v>#REF!</v>
      </c>
      <c r="F24" s="237" t="n">
        <f aca="false">F8</f>
        <v>0.145104465726371</v>
      </c>
      <c r="G24" s="238" t="e">
        <f aca="false">#REF!</f>
        <v>#REF!</v>
      </c>
    </row>
    <row r="25" customFormat="false" ht="12.75" hidden="false" customHeight="false" outlineLevel="0" collapsed="false">
      <c r="A25" s="229" t="s">
        <v>189</v>
      </c>
      <c r="B25" s="236" t="e">
        <f aca="false">#REF!/#REF!</f>
        <v>#REF!</v>
      </c>
      <c r="C25" s="237" t="n">
        <f aca="false">C9</f>
        <v>0.125827160838998</v>
      </c>
      <c r="D25" s="238" t="e">
        <f aca="false">#REF!</f>
        <v>#REF!</v>
      </c>
      <c r="E25" s="239" t="e">
        <f aca="false">#REF!/#REF!</f>
        <v>#REF!</v>
      </c>
      <c r="F25" s="237" t="n">
        <f aca="false">F9</f>
        <v>0.151301017219453</v>
      </c>
      <c r="G25" s="238" t="e">
        <f aca="false">#REF!</f>
        <v>#REF!</v>
      </c>
    </row>
    <row r="26" customFormat="false" ht="12.75" hidden="false" customHeight="false" outlineLevel="0" collapsed="false">
      <c r="A26" s="229" t="s">
        <v>190</v>
      </c>
      <c r="B26" s="236" t="e">
        <f aca="false">#REF!/#REF!</f>
        <v>#REF!</v>
      </c>
      <c r="C26" s="237" t="n">
        <f aca="false">C10</f>
        <v>0.170696085939948</v>
      </c>
      <c r="D26" s="238" t="e">
        <f aca="false">#REF!</f>
        <v>#REF!</v>
      </c>
      <c r="E26" s="239" t="e">
        <f aca="false">#REF!/#REF!</f>
        <v>#REF!</v>
      </c>
      <c r="F26" s="237" t="n">
        <f aca="false">F10</f>
        <v>0.142167259312374</v>
      </c>
      <c r="G26" s="238" t="e">
        <f aca="false">#REF!</f>
        <v>#REF!</v>
      </c>
    </row>
    <row r="27" customFormat="false" ht="12.75" hidden="false" customHeight="false" outlineLevel="0" collapsed="false">
      <c r="A27" s="232" t="s">
        <v>191</v>
      </c>
      <c r="B27" s="241" t="e">
        <f aca="false">#REF!/#REF!</f>
        <v>#REF!</v>
      </c>
      <c r="C27" s="81" t="n">
        <f aca="false">C11</f>
        <v>0.495107013079405</v>
      </c>
      <c r="D27" s="238" t="e">
        <f aca="false">#REF!</f>
        <v>#REF!</v>
      </c>
      <c r="E27" s="242" t="e">
        <f aca="false">#REF!/#REF!</f>
        <v>#REF!</v>
      </c>
      <c r="F27" s="81" t="n">
        <f aca="false">F11</f>
        <v>0.246168511932668</v>
      </c>
      <c r="G27" s="238" t="e">
        <f aca="false">#REF!</f>
        <v>#REF!</v>
      </c>
    </row>
    <row r="28" customFormat="false" ht="12.75" hidden="false" customHeight="false" outlineLevel="0" collapsed="false">
      <c r="A28" s="244" t="s">
        <v>88</v>
      </c>
      <c r="B28" s="245" t="e">
        <f aca="false">SUM(B23:B27)</f>
        <v>#REF!</v>
      </c>
      <c r="C28" s="248" t="n">
        <f aca="false">C12</f>
        <v>1</v>
      </c>
      <c r="D28" s="247"/>
      <c r="E28" s="245" t="e">
        <f aca="false">SUM(E23:E27)</f>
        <v>#REF!</v>
      </c>
      <c r="F28" s="248" t="n">
        <f aca="false">F12</f>
        <v>1</v>
      </c>
      <c r="G28" s="247"/>
    </row>
    <row r="30" customFormat="false" ht="12.75" hidden="false" customHeight="false" outlineLevel="0" collapsed="false">
      <c r="A30" s="5" t="s">
        <v>192</v>
      </c>
    </row>
    <row r="31" customFormat="false" ht="12.75" hidden="false" customHeight="false" outlineLevel="0" collapsed="false">
      <c r="A31" s="5"/>
    </row>
    <row r="32" customFormat="false" ht="12.75" hidden="false" customHeight="false" outlineLevel="0" collapsed="false">
      <c r="A32" s="5"/>
    </row>
    <row r="33" customFormat="false" ht="12.75" hidden="false" customHeight="false" outlineLevel="0" collapsed="false">
      <c r="A33" s="7" t="s">
        <v>194</v>
      </c>
    </row>
    <row r="38" customFormat="false" ht="15" hidden="false" customHeight="false" outlineLevel="0" collapsed="false">
      <c r="A38" s="249" t="s">
        <v>195</v>
      </c>
      <c r="B38" s="249"/>
      <c r="C38" s="249"/>
      <c r="D38" s="249"/>
      <c r="E38" s="249"/>
      <c r="F38" s="249"/>
      <c r="G38" s="249"/>
    </row>
    <row r="39" customFormat="false" ht="14.25" hidden="false" customHeight="false" outlineLevel="0" collapsed="false">
      <c r="A39" s="250"/>
      <c r="B39" s="250"/>
      <c r="C39" s="250"/>
      <c r="D39" s="250"/>
      <c r="E39" s="250"/>
      <c r="F39" s="250"/>
      <c r="G39" s="250"/>
    </row>
    <row r="40" customFormat="false" ht="12.75" hidden="false" customHeight="false" outlineLevel="0" collapsed="false">
      <c r="A40" s="0"/>
      <c r="G40" s="0"/>
    </row>
    <row r="41" customFormat="false" ht="12.75" hidden="false" customHeight="false" outlineLevel="0" collapsed="false">
      <c r="A41" s="227"/>
      <c r="B41" s="251" t="s">
        <v>91</v>
      </c>
      <c r="C41" s="251"/>
      <c r="D41" s="251"/>
      <c r="E41" s="228" t="s">
        <v>96</v>
      </c>
      <c r="F41" s="228"/>
      <c r="G41" s="228"/>
    </row>
    <row r="42" customFormat="false" ht="12.75" hidden="false" customHeight="false" outlineLevel="0" collapsed="false">
      <c r="A42" s="232" t="s">
        <v>13</v>
      </c>
      <c r="B42" s="252" t="s">
        <v>196</v>
      </c>
      <c r="C42" s="253"/>
      <c r="D42" s="253" t="s">
        <v>197</v>
      </c>
      <c r="E42" s="252" t="s">
        <v>196</v>
      </c>
      <c r="F42" s="253"/>
      <c r="G42" s="254" t="s">
        <v>197</v>
      </c>
    </row>
    <row r="43" customFormat="false" ht="12.75" hidden="false" customHeight="false" outlineLevel="0" collapsed="false">
      <c r="A43" s="229" t="s">
        <v>157</v>
      </c>
      <c r="B43" s="255" t="n">
        <v>0</v>
      </c>
      <c r="C43" s="256"/>
      <c r="D43" s="256" t="n">
        <v>0</v>
      </c>
      <c r="E43" s="255" t="n">
        <v>0</v>
      </c>
      <c r="F43" s="256"/>
      <c r="G43" s="238" t="n">
        <v>0</v>
      </c>
    </row>
    <row r="44" customFormat="false" ht="12.75" hidden="false" customHeight="false" outlineLevel="0" collapsed="false">
      <c r="A44" s="229" t="s">
        <v>188</v>
      </c>
      <c r="B44" s="255" t="e">
        <f aca="false">#REF!</f>
        <v>#REF!</v>
      </c>
      <c r="C44" s="256"/>
      <c r="D44" s="256" t="n">
        <f aca="false">'130%Baseline'!$I115</f>
        <v>-0.0164140843415715</v>
      </c>
      <c r="E44" s="255" t="e">
        <f aca="false">#REF!</f>
        <v>#REF!</v>
      </c>
      <c r="F44" s="256"/>
      <c r="G44" s="238" t="n">
        <f aca="false">'200%Baseline'!$I100</f>
        <v>0</v>
      </c>
    </row>
    <row r="45" customFormat="false" ht="12.75" hidden="false" customHeight="false" outlineLevel="0" collapsed="false">
      <c r="A45" s="229" t="s">
        <v>189</v>
      </c>
      <c r="B45" s="255" t="e">
        <f aca="false">#REF!</f>
        <v>#REF!</v>
      </c>
      <c r="C45" s="256"/>
      <c r="D45" s="256" t="e">
        <f aca="false">'130%Baseline'!$I116</f>
        <v>#REF!</v>
      </c>
      <c r="E45" s="255" t="e">
        <f aca="false">#REF!</f>
        <v>#REF!</v>
      </c>
      <c r="F45" s="256"/>
      <c r="G45" s="238" t="n">
        <f aca="false">'200%Baseline'!$I101</f>
        <v>0</v>
      </c>
    </row>
    <row r="46" customFormat="false" ht="12.75" hidden="false" customHeight="false" outlineLevel="0" collapsed="false">
      <c r="A46" s="229" t="s">
        <v>190</v>
      </c>
      <c r="B46" s="255" t="e">
        <f aca="false">#REF!</f>
        <v>#REF!</v>
      </c>
      <c r="C46" s="256"/>
      <c r="D46" s="256" t="e">
        <f aca="false">'130%Baseline'!$I117</f>
        <v>#REF!</v>
      </c>
      <c r="E46" s="255" t="e">
        <f aca="false">#REF!</f>
        <v>#REF!</v>
      </c>
      <c r="F46" s="256"/>
      <c r="G46" s="238" t="n">
        <f aca="false">'200%Baseline'!$I102</f>
        <v>0</v>
      </c>
    </row>
    <row r="47" customFormat="false" ht="12.75" hidden="false" customHeight="false" outlineLevel="0" collapsed="false">
      <c r="A47" s="232" t="s">
        <v>191</v>
      </c>
      <c r="B47" s="257" t="e">
        <f aca="false">#REF!</f>
        <v>#REF!</v>
      </c>
      <c r="C47" s="258"/>
      <c r="D47" s="258" t="n">
        <f aca="false">'130%Baseline'!$I118</f>
        <v>-0.118002428751975</v>
      </c>
      <c r="E47" s="257" t="e">
        <f aca="false">#REF!</f>
        <v>#REF!</v>
      </c>
      <c r="F47" s="258"/>
      <c r="G47" s="259" t="n">
        <f aca="false">'200%Baseline'!$I103</f>
        <v>0</v>
      </c>
    </row>
    <row r="48" customFormat="false" ht="12.75" hidden="false" customHeight="false" outlineLevel="0" collapsed="false">
      <c r="A48" s="244" t="s">
        <v>88</v>
      </c>
      <c r="B48" s="260" t="e">
        <f aca="false">#REF!</f>
        <v>#REF!</v>
      </c>
      <c r="C48" s="261"/>
      <c r="D48" s="261" t="e">
        <f aca="false">'130%Baseline'!$I119</f>
        <v>#REF!</v>
      </c>
      <c r="E48" s="260" t="e">
        <f aca="false">#REF!</f>
        <v>#REF!</v>
      </c>
      <c r="F48" s="261"/>
      <c r="G48" s="262" t="n">
        <f aca="false">'200%Baseline'!$I104</f>
        <v>0</v>
      </c>
    </row>
  </sheetData>
  <mergeCells count="11">
    <mergeCell ref="A1:G1"/>
    <mergeCell ref="A2:G2"/>
    <mergeCell ref="B4:D4"/>
    <mergeCell ref="E4:G4"/>
    <mergeCell ref="A17:G17"/>
    <mergeCell ref="A18:G18"/>
    <mergeCell ref="B20:D20"/>
    <mergeCell ref="E20:G20"/>
    <mergeCell ref="A38:G38"/>
    <mergeCell ref="B41:D41"/>
    <mergeCell ref="E41:G4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2" activeCellId="0" sqref="A22:IV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" width="16.28"/>
    <col collapsed="false" customWidth="true" hidden="false" outlineLevel="0" max="2" min="2" style="7" width="12.56"/>
    <col collapsed="false" customWidth="true" hidden="false" outlineLevel="0" max="5" min="3" style="7" width="16.28"/>
    <col collapsed="false" customWidth="true" hidden="false" outlineLevel="0" max="6" min="6" style="7" width="14.99"/>
    <col collapsed="false" customWidth="true" hidden="false" outlineLevel="0" max="7" min="7" style="7" width="13.7"/>
    <col collapsed="false" customWidth="true" hidden="false" outlineLevel="0" max="9" min="8" style="0" width="14.14"/>
  </cols>
  <sheetData>
    <row r="1" customFormat="false" ht="14.25" hidden="false" customHeight="false" outlineLevel="0" collapsed="false">
      <c r="A1" s="173" t="s">
        <v>198</v>
      </c>
      <c r="B1" s="173"/>
      <c r="C1" s="173"/>
      <c r="D1" s="173"/>
      <c r="E1" s="173"/>
      <c r="F1" s="173"/>
    </row>
    <row r="2" customFormat="false" ht="12.75" hidden="false" customHeight="false" outlineLevel="0" collapsed="false">
      <c r="A2" s="6" t="s">
        <v>199</v>
      </c>
      <c r="B2" s="6"/>
      <c r="C2" s="6"/>
      <c r="D2" s="6"/>
      <c r="E2" s="6"/>
      <c r="F2" s="6"/>
    </row>
    <row r="4" customFormat="false" ht="12.75" hidden="false" customHeight="false" outlineLevel="0" collapsed="false">
      <c r="B4" s="217" t="s">
        <v>14</v>
      </c>
      <c r="C4" s="77" t="s">
        <v>43</v>
      </c>
      <c r="D4" s="77" t="s">
        <v>172</v>
      </c>
      <c r="E4" s="77" t="s">
        <v>45</v>
      </c>
      <c r="F4" s="77" t="s">
        <v>88</v>
      </c>
    </row>
    <row r="5" customFormat="false" ht="12.75" hidden="false" customHeight="false" outlineLevel="0" collapsed="false">
      <c r="C5" s="77"/>
      <c r="D5" s="77"/>
      <c r="E5" s="77"/>
      <c r="F5" s="77"/>
    </row>
    <row r="6" customFormat="false" ht="12.75" hidden="false" customHeight="false" outlineLevel="0" collapsed="false">
      <c r="A6" s="263" t="s">
        <v>200</v>
      </c>
      <c r="B6" s="88" t="e">
        <f aca="false">#REF!</f>
        <v>#REF!</v>
      </c>
      <c r="C6" s="88" t="e">
        <f aca="false">#REF!</f>
        <v>#REF!</v>
      </c>
      <c r="D6" s="88" t="e">
        <f aca="false">F6-C6</f>
        <v>#REF!</v>
      </c>
      <c r="E6" s="88" t="n">
        <v>0</v>
      </c>
      <c r="F6" s="88" t="e">
        <f aca="false">#REF!</f>
        <v>#REF!</v>
      </c>
    </row>
    <row r="7" customFormat="false" ht="12.75" hidden="false" customHeight="false" outlineLevel="0" collapsed="false">
      <c r="A7" s="7" t="s">
        <v>201</v>
      </c>
      <c r="C7" s="237" t="e">
        <f aca="false">C6/$F6</f>
        <v>#REF!</v>
      </c>
      <c r="D7" s="237" t="e">
        <f aca="false">D6/$F6</f>
        <v>#REF!</v>
      </c>
      <c r="E7" s="237" t="e">
        <f aca="false">E6/$F6</f>
        <v>#REF!</v>
      </c>
      <c r="F7" s="88"/>
    </row>
    <row r="8" customFormat="false" ht="12.75" hidden="false" customHeight="false" outlineLevel="0" collapsed="false">
      <c r="C8" s="77"/>
      <c r="D8" s="77"/>
      <c r="E8" s="77"/>
      <c r="F8" s="77"/>
    </row>
    <row r="9" customFormat="false" ht="12.75" hidden="false" customHeight="false" outlineLevel="0" collapsed="false">
      <c r="A9" s="263" t="s">
        <v>202</v>
      </c>
      <c r="B9" s="264" t="e">
        <f aca="false">B6</f>
        <v>#REF!</v>
      </c>
      <c r="C9" s="88" t="e">
        <f aca="false">C6</f>
        <v>#REF!</v>
      </c>
      <c r="D9" s="88" t="e">
        <f aca="false">#REF!+'130%Baseline'!D69</f>
        <v>#REF!</v>
      </c>
      <c r="E9" s="88" t="n">
        <f aca="false">'130%Baseline'!E69</f>
        <v>8855015465</v>
      </c>
      <c r="F9" s="88" t="e">
        <f aca="false">SUM(C9:E9)</f>
        <v>#REF!</v>
      </c>
    </row>
    <row r="10" customFormat="false" ht="12.75" hidden="false" customHeight="false" outlineLevel="0" collapsed="false">
      <c r="A10" s="7" t="s">
        <v>201</v>
      </c>
      <c r="C10" s="237" t="e">
        <f aca="false">C9/$F9</f>
        <v>#REF!</v>
      </c>
      <c r="D10" s="237" t="e">
        <f aca="false">D9/$F9</f>
        <v>#REF!</v>
      </c>
      <c r="E10" s="256" t="e">
        <f aca="false">E9/$F9</f>
        <v>#REF!</v>
      </c>
      <c r="F10" s="88"/>
    </row>
    <row r="11" customFormat="false" ht="12.75" hidden="false" customHeight="false" outlineLevel="0" collapsed="false">
      <c r="C11" s="88"/>
      <c r="D11" s="88"/>
      <c r="E11" s="88"/>
      <c r="F11" s="88"/>
    </row>
    <row r="12" customFormat="false" ht="12.75" hidden="false" customHeight="false" outlineLevel="0" collapsed="false">
      <c r="C12" s="88"/>
      <c r="D12" s="88"/>
      <c r="E12" s="88"/>
      <c r="F12" s="88"/>
    </row>
    <row r="13" customFormat="false" ht="12.75" hidden="false" customHeight="false" outlineLevel="0" collapsed="false">
      <c r="A13" s="263" t="s">
        <v>203</v>
      </c>
      <c r="B13" s="264" t="e">
        <f aca="false">B6</f>
        <v>#REF!</v>
      </c>
      <c r="C13" s="88" t="e">
        <f aca="false">C6</f>
        <v>#REF!</v>
      </c>
      <c r="D13" s="88" t="e">
        <f aca="false">#REF!+'200%Baseline'!D69</f>
        <v>#REF!</v>
      </c>
      <c r="E13" s="88" t="n">
        <f aca="false">'200%Baseline'!E69</f>
        <v>4630385545</v>
      </c>
      <c r="F13" s="88" t="e">
        <f aca="false">SUM(C13:E13)</f>
        <v>#REF!</v>
      </c>
    </row>
    <row r="14" customFormat="false" ht="12.75" hidden="false" customHeight="false" outlineLevel="0" collapsed="false">
      <c r="A14" s="7" t="s">
        <v>201</v>
      </c>
      <c r="C14" s="237" t="e">
        <f aca="false">C13/$F13</f>
        <v>#REF!</v>
      </c>
      <c r="D14" s="237" t="e">
        <f aca="false">D13/$F13</f>
        <v>#REF!</v>
      </c>
      <c r="E14" s="237" t="e">
        <f aca="false">E13/$F13</f>
        <v>#REF!</v>
      </c>
      <c r="F14" s="88"/>
    </row>
    <row r="16" customFormat="false" ht="12.75" hidden="false" customHeight="false" outlineLevel="0" collapsed="false">
      <c r="A16" s="7" t="s">
        <v>204</v>
      </c>
      <c r="C16" s="264" t="e">
        <f aca="false">C13</f>
        <v>#REF!</v>
      </c>
      <c r="D16" s="88" t="e">
        <f aca="false">F16-C16-E16</f>
        <v>#REF!</v>
      </c>
      <c r="E16" s="88" t="n">
        <v>1389154901</v>
      </c>
      <c r="F16" s="88" t="e">
        <f aca="false">F13</f>
        <v>#REF!</v>
      </c>
    </row>
    <row r="17" customFormat="false" ht="12.75" hidden="false" customHeight="false" outlineLevel="0" collapsed="false">
      <c r="C17" s="237" t="e">
        <f aca="false">C16/$F16</f>
        <v>#REF!</v>
      </c>
      <c r="D17" s="237" t="e">
        <f aca="false">D16/$F16</f>
        <v>#REF!</v>
      </c>
      <c r="E17" s="237" t="e">
        <f aca="false">E16/$F16</f>
        <v>#REF!</v>
      </c>
    </row>
    <row r="18" customFormat="false" ht="12.75" hidden="false" customHeight="false" outlineLevel="0" collapsed="false">
      <c r="B18" s="5"/>
    </row>
    <row r="19" customFormat="false" ht="12.75" hidden="false" customHeight="false" outlineLevel="0" collapsed="false">
      <c r="A19" s="5" t="s">
        <v>205</v>
      </c>
    </row>
  </sheetData>
  <mergeCells count="2">
    <mergeCell ref="A1:F1"/>
    <mergeCell ref="A2:F2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7" width="16.99"/>
    <col collapsed="false" customWidth="true" hidden="false" outlineLevel="0" max="2" min="2" style="7" width="11.28"/>
    <col collapsed="false" customWidth="true" hidden="false" outlineLevel="0" max="3" min="3" style="7" width="13.41"/>
    <col collapsed="false" customWidth="true" hidden="false" outlineLevel="0" max="4" min="4" style="7" width="9.56"/>
    <col collapsed="false" customWidth="true" hidden="false" outlineLevel="0" max="5" min="5" style="7" width="11.85"/>
    <col collapsed="false" customWidth="true" hidden="false" outlineLevel="0" max="6" min="6" style="7" width="7.99"/>
    <col collapsed="false" customWidth="false" hidden="false" outlineLevel="0" max="8" min="7" style="7" width="9.14"/>
    <col collapsed="false" customWidth="true" hidden="false" outlineLevel="0" max="9" min="9" style="7" width="6.7"/>
    <col collapsed="false" customWidth="true" hidden="false" outlineLevel="0" max="10" min="10" style="56" width="5.85"/>
    <col collapsed="false" customWidth="false" hidden="false" outlineLevel="0" max="257" min="11" style="7" width="9.14"/>
  </cols>
  <sheetData>
    <row r="2" customFormat="false" ht="12.75" hidden="false" customHeight="false" outlineLevel="0" collapsed="false">
      <c r="A2" s="4" t="s">
        <v>33</v>
      </c>
      <c r="B2" s="4"/>
      <c r="C2" s="4"/>
      <c r="D2" s="4"/>
      <c r="E2" s="4"/>
      <c r="F2" s="4"/>
      <c r="G2" s="4"/>
    </row>
    <row r="3" customFormat="false" ht="12" hidden="false" customHeight="false" outlineLevel="0" collapsed="false">
      <c r="A3" s="56"/>
      <c r="B3" s="56"/>
      <c r="C3" s="56"/>
      <c r="D3" s="56"/>
    </row>
    <row r="4" customFormat="false" ht="12" hidden="false" customHeight="false" outlineLevel="0" collapsed="false">
      <c r="A4" s="57"/>
      <c r="B4" s="58" t="s">
        <v>34</v>
      </c>
      <c r="C4" s="58" t="s">
        <v>35</v>
      </c>
      <c r="D4" s="58" t="s">
        <v>36</v>
      </c>
      <c r="E4" s="58" t="s">
        <v>37</v>
      </c>
      <c r="F4" s="59" t="s">
        <v>7</v>
      </c>
    </row>
    <row r="5" customFormat="false" ht="12" hidden="false" customHeight="false" outlineLevel="0" collapsed="false">
      <c r="A5" s="60"/>
      <c r="B5" s="61" t="s">
        <v>38</v>
      </c>
      <c r="C5" s="61" t="s">
        <v>39</v>
      </c>
      <c r="D5" s="61" t="s">
        <v>40</v>
      </c>
      <c r="E5" s="61" t="s">
        <v>41</v>
      </c>
      <c r="F5" s="62" t="s">
        <v>42</v>
      </c>
    </row>
    <row r="6" customFormat="false" ht="12" hidden="false" customHeight="false" outlineLevel="0" collapsed="false">
      <c r="A6" s="60" t="s">
        <v>43</v>
      </c>
      <c r="B6" s="63" t="n">
        <v>0.11589</v>
      </c>
      <c r="C6" s="63" t="n">
        <f aca="false">B6*0.9+0.01</f>
        <v>0.114301</v>
      </c>
      <c r="D6" s="64" t="n">
        <v>0</v>
      </c>
      <c r="E6" s="65" t="n">
        <f aca="false">C6+D6</f>
        <v>0.114301</v>
      </c>
      <c r="F6" s="66"/>
    </row>
    <row r="7" customFormat="false" ht="12" hidden="false" customHeight="false" outlineLevel="0" collapsed="false">
      <c r="A7" s="60" t="s">
        <v>44</v>
      </c>
      <c r="B7" s="63" t="n">
        <v>0.13321</v>
      </c>
      <c r="C7" s="63" t="n">
        <f aca="false">B7*0.9+0.01</f>
        <v>0.129889</v>
      </c>
      <c r="D7" s="64" t="n">
        <v>0</v>
      </c>
      <c r="E7" s="65" t="n">
        <f aca="false">C7+D7</f>
        <v>0.129889</v>
      </c>
      <c r="F7" s="66"/>
    </row>
    <row r="8" customFormat="false" ht="12" hidden="false" customHeight="false" outlineLevel="0" collapsed="false">
      <c r="A8" s="60" t="s">
        <v>45</v>
      </c>
      <c r="B8" s="67" t="n">
        <f aca="false">B7</f>
        <v>0.13321</v>
      </c>
      <c r="C8" s="67" t="n">
        <f aca="false">C7</f>
        <v>0.129889</v>
      </c>
      <c r="D8" s="68" t="n">
        <f aca="false">BillDet!D28</f>
        <v>0.065</v>
      </c>
      <c r="E8" s="65" t="n">
        <f aca="false">C8+D8</f>
        <v>0.194889</v>
      </c>
      <c r="F8" s="69" t="n">
        <f aca="false">(E8-$E7)/$E7</f>
        <v>0.500427287915066</v>
      </c>
    </row>
    <row r="9" customFormat="false" ht="12" hidden="false" customHeight="false" outlineLevel="0" collapsed="false">
      <c r="A9" s="70" t="s">
        <v>46</v>
      </c>
      <c r="B9" s="71" t="n">
        <f aca="false">B8</f>
        <v>0.13321</v>
      </c>
      <c r="C9" s="71" t="n">
        <f aca="false">C8</f>
        <v>0.129889</v>
      </c>
      <c r="D9" s="72" t="n">
        <f aca="false">BillDet!E28</f>
        <v>0.158997719565916</v>
      </c>
      <c r="E9" s="73" t="n">
        <f aca="false">C9+D9</f>
        <v>0.288886719565916</v>
      </c>
      <c r="F9" s="74" t="n">
        <f aca="false">(E9-$E7)/$E7</f>
        <v>1.22410457826233</v>
      </c>
    </row>
    <row r="10" customFormat="false" ht="12" hidden="false" customHeight="false" outlineLevel="0" collapsed="false">
      <c r="B10" s="75"/>
      <c r="C10" s="63"/>
    </row>
    <row r="11" customFormat="false" ht="12" hidden="false" customHeight="false" outlineLevel="0" collapsed="false">
      <c r="A11" s="7" t="s">
        <v>47</v>
      </c>
      <c r="B11" s="75"/>
      <c r="C11" s="63"/>
      <c r="J11" s="76" t="n">
        <f aca="false">'GT200%Rev'!L13</f>
        <v>0.213058238061975</v>
      </c>
    </row>
    <row r="12" customFormat="false" ht="12" hidden="false" customHeight="false" outlineLevel="0" collapsed="false">
      <c r="A12" s="7" t="s">
        <v>48</v>
      </c>
      <c r="B12" s="75"/>
      <c r="C12" s="63"/>
      <c r="J12" s="76" t="n">
        <f aca="false">'GT200%Rev'!L19</f>
        <v>0.582617333417235</v>
      </c>
    </row>
    <row r="13" customFormat="false" ht="12" hidden="false" customHeight="false" outlineLevel="0" collapsed="false">
      <c r="B13" s="75"/>
      <c r="C13" s="63"/>
    </row>
    <row r="14" customFormat="false" ht="12" hidden="false" customHeight="false" outlineLevel="0" collapsed="false">
      <c r="A14" s="5" t="s">
        <v>49</v>
      </c>
      <c r="B14" s="75"/>
      <c r="C14" s="63"/>
    </row>
    <row r="15" customFormat="false" ht="12" hidden="false" customHeight="false" outlineLevel="0" collapsed="false">
      <c r="B15" s="77"/>
      <c r="C15" s="77"/>
      <c r="D15" s="77"/>
      <c r="E15" s="77"/>
    </row>
    <row r="16" customFormat="false" ht="12" hidden="false" customHeight="false" outlineLevel="0" collapsed="false">
      <c r="B16" s="77"/>
      <c r="C16" s="77"/>
      <c r="D16" s="77"/>
      <c r="E16" s="77"/>
    </row>
    <row r="17" customFormat="false" ht="12" hidden="false" customHeight="false" outlineLevel="0" collapsed="false">
      <c r="A17" s="57"/>
      <c r="B17" s="78" t="s">
        <v>50</v>
      </c>
      <c r="C17" s="79" t="str">
        <f aca="false">B17</f>
        <v>EL-1</v>
      </c>
      <c r="F17" s="80"/>
    </row>
    <row r="18" customFormat="false" ht="12" hidden="false" customHeight="false" outlineLevel="0" collapsed="false">
      <c r="A18" s="60"/>
      <c r="B18" s="81" t="s">
        <v>51</v>
      </c>
      <c r="C18" s="82" t="s">
        <v>52</v>
      </c>
    </row>
    <row r="19" customFormat="false" ht="12" hidden="false" customHeight="false" outlineLevel="0" collapsed="false">
      <c r="A19" s="83" t="s">
        <v>43</v>
      </c>
      <c r="B19" s="63" t="n">
        <v>0.09812</v>
      </c>
      <c r="C19" s="84" t="n">
        <f aca="false">B19*0.9</f>
        <v>0.088308</v>
      </c>
    </row>
    <row r="20" customFormat="false" ht="12" hidden="false" customHeight="false" outlineLevel="0" collapsed="false">
      <c r="A20" s="85" t="s">
        <v>44</v>
      </c>
      <c r="B20" s="86" t="n">
        <v>0.11284</v>
      </c>
      <c r="C20" s="87" t="n">
        <f aca="false">B20*0.9</f>
        <v>0.101556</v>
      </c>
    </row>
  </sheetData>
  <mergeCells count="1">
    <mergeCell ref="A2:G2"/>
  </mergeCells>
  <printOptions headings="true" gridLines="false" gridLinesSet="true" horizontalCentered="true" verticalCentered="false"/>
  <pageMargins left="0.747916666666667" right="0.747916666666667" top="1.5" bottom="0.984027777777778" header="0.5" footer="0.5"/>
  <pageSetup paperSize="1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>&amp;CPacific Gas and Electric Company
Rate Design Workpapers
3 Cent Surcharge</oddHeader>
    <oddFooter>&amp;L&amp;D  &amp;T&amp;R&amp;F 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:I3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7" width="17.14"/>
    <col collapsed="false" customWidth="true" hidden="false" outlineLevel="0" max="2" min="2" style="88" width="9.99"/>
    <col collapsed="false" customWidth="true" hidden="false" outlineLevel="0" max="3" min="3" style="88" width="8.85"/>
    <col collapsed="false" customWidth="true" hidden="false" outlineLevel="0" max="4" min="4" style="88" width="12.56"/>
    <col collapsed="false" customWidth="true" hidden="false" outlineLevel="0" max="5" min="5" style="7" width="12.14"/>
    <col collapsed="false" customWidth="true" hidden="false" outlineLevel="0" max="6" min="6" style="7" width="13.14"/>
    <col collapsed="false" customWidth="true" hidden="false" outlineLevel="0" max="8" min="7" style="7" width="11.7"/>
    <col collapsed="false" customWidth="true" hidden="false" outlineLevel="0" max="9" min="9" style="5" width="12.7"/>
    <col collapsed="false" customWidth="true" hidden="false" outlineLevel="0" max="10" min="10" style="7" width="15.13"/>
    <col collapsed="false" customWidth="true" hidden="false" outlineLevel="0" max="11" min="11" style="7" width="7.14"/>
    <col collapsed="false" customWidth="true" hidden="false" outlineLevel="0" max="12" min="12" style="7" width="12.85"/>
    <col collapsed="false" customWidth="false" hidden="false" outlineLevel="0" max="257" min="13" style="7" width="9.14"/>
  </cols>
  <sheetData>
    <row r="2" customFormat="false" ht="12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" hidden="false" customHeight="false" outlineLevel="0" collapsed="false">
      <c r="A3" s="44" t="s">
        <v>2</v>
      </c>
      <c r="B3" s="44"/>
      <c r="C3" s="44"/>
      <c r="D3" s="44"/>
      <c r="E3" s="44"/>
      <c r="F3" s="44"/>
      <c r="G3" s="44"/>
      <c r="H3" s="44"/>
      <c r="I3" s="44"/>
    </row>
    <row r="4" customFormat="false" ht="12" hidden="false" customHeight="true" outlineLevel="0" collapsed="false">
      <c r="A4" s="8"/>
      <c r="B4" s="9"/>
      <c r="C4" s="10" t="s">
        <v>7</v>
      </c>
      <c r="D4" s="89" t="s">
        <v>53</v>
      </c>
      <c r="E4" s="89" t="s">
        <v>54</v>
      </c>
      <c r="F4" s="89" t="s">
        <v>55</v>
      </c>
      <c r="G4" s="89" t="s">
        <v>56</v>
      </c>
      <c r="H4" s="89" t="s">
        <v>57</v>
      </c>
      <c r="I4" s="1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2" hidden="false" customHeight="true" outlineLevel="0" collapsed="false">
      <c r="A5" s="16" t="s">
        <v>13</v>
      </c>
      <c r="B5" s="17" t="s">
        <v>14</v>
      </c>
      <c r="C5" s="18" t="s">
        <v>15</v>
      </c>
      <c r="D5" s="90" t="s">
        <v>58</v>
      </c>
      <c r="E5" s="90" t="s">
        <v>59</v>
      </c>
      <c r="F5" s="90" t="s">
        <v>60</v>
      </c>
      <c r="G5" s="90" t="s">
        <v>61</v>
      </c>
      <c r="H5" s="90" t="s">
        <v>62</v>
      </c>
      <c r="I5" s="19" t="s">
        <v>63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</row>
    <row r="6" customFormat="false" ht="12" hidden="false" customHeight="true" outlineLevel="0" collapsed="false">
      <c r="A6" s="12" t="s">
        <v>20</v>
      </c>
      <c r="B6" s="50" t="n">
        <f aca="false">TierSum!B6/TierSum!B$10*E$62/12</f>
        <v>694603.898179944</v>
      </c>
      <c r="C6" s="21" t="n">
        <f aca="false">B6/B$10</f>
        <v>0.18173898057175</v>
      </c>
      <c r="D6" s="22" t="n">
        <f aca="false">TierSum!D6/TierSum!$I$10*$F$62</f>
        <v>1622685673.73422</v>
      </c>
      <c r="E6" s="22" t="n">
        <f aca="false">TierSum!E6/TierSum!$I$10*$F$62</f>
        <v>0</v>
      </c>
      <c r="F6" s="22" t="n">
        <f aca="false">TierSum!F6/TierSum!$I$10*$F$62</f>
        <v>0</v>
      </c>
      <c r="G6" s="22" t="n">
        <f aca="false">TierSum!G6/TierSum!$I$10*$F$62</f>
        <v>0</v>
      </c>
      <c r="H6" s="22"/>
      <c r="I6" s="91" t="n">
        <f aca="false">SUM(D6:H6)</f>
        <v>1622685673.73422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" hidden="false" customHeight="true" outlineLevel="0" collapsed="false">
      <c r="A7" s="12" t="s">
        <v>21</v>
      </c>
      <c r="B7" s="50" t="n">
        <f aca="false">TierSum!B7/TierSum!B$10*E$62/12</f>
        <v>437099.235656871</v>
      </c>
      <c r="C7" s="21" t="n">
        <f aca="false">B7/B$10</f>
        <v>0.11436441647552</v>
      </c>
      <c r="D7" s="22" t="n">
        <f aca="false">TierSum!D7/TierSum!$I$10*$F$62</f>
        <v>1632917583.13954</v>
      </c>
      <c r="E7" s="22" t="n">
        <f aca="false">TierSum!E7/TierSum!$I$10*$F$62</f>
        <v>64483499.4686518</v>
      </c>
      <c r="F7" s="22" t="n">
        <f aca="false">TierSum!F7/TierSum!$I$10*$F$62</f>
        <v>0</v>
      </c>
      <c r="G7" s="22" t="n">
        <f aca="false">TierSum!G7/TierSum!$I$10*$F$62</f>
        <v>0</v>
      </c>
      <c r="H7" s="22"/>
      <c r="I7" s="91" t="n">
        <f aca="false">SUM(D7:H7)</f>
        <v>1697401082.60819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</row>
    <row r="8" customFormat="false" ht="12" hidden="false" customHeight="true" outlineLevel="0" collapsed="false">
      <c r="A8" s="12" t="s">
        <v>22</v>
      </c>
      <c r="B8" s="50" t="n">
        <f aca="false">TierSum!B8/TierSum!B$10*E$62/12</f>
        <v>952011.724101631</v>
      </c>
      <c r="C8" s="21" t="n">
        <f aca="false">B8/B$10</f>
        <v>0.249088207946915</v>
      </c>
      <c r="D8" s="22" t="n">
        <f aca="false">TierSum!D8/TierSum!$I$10*$F$62</f>
        <v>3998575279.43823</v>
      </c>
      <c r="E8" s="22" t="n">
        <f aca="false">TierSum!E8/TierSum!$I$10*$F$62</f>
        <v>723651638.359117</v>
      </c>
      <c r="F8" s="22" t="n">
        <f aca="false">TierSum!F8/TierSum!$I$10*$F$62</f>
        <v>411214883.640813</v>
      </c>
      <c r="G8" s="22" t="n">
        <f aca="false">TierSum!G8/TierSum!$I$10*$F$62</f>
        <v>0</v>
      </c>
      <c r="H8" s="22"/>
      <c r="I8" s="91" t="n">
        <f aca="false">SUM(D8:H8)</f>
        <v>5133441801.43816</v>
      </c>
      <c r="J8" s="27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" hidden="false" customHeight="true" outlineLevel="0" collapsed="false">
      <c r="A9" s="16" t="s">
        <v>23</v>
      </c>
      <c r="B9" s="52" t="n">
        <f aca="false">TierSum!B9/TierSum!B$10*E$62/12</f>
        <v>1738271.4654949</v>
      </c>
      <c r="C9" s="29" t="n">
        <f aca="false">B9/B$10</f>
        <v>0.454808395005816</v>
      </c>
      <c r="D9" s="30" t="n">
        <f aca="false">TierSum!D9/TierSum!$I$10*$F$62</f>
        <v>7682934895.63013</v>
      </c>
      <c r="E9" s="30" t="n">
        <f aca="false">TierSum!E9/TierSum!$I$10*$F$62</f>
        <v>2099922687.37154</v>
      </c>
      <c r="F9" s="30" t="n">
        <f aca="false">TierSum!F9/TierSum!$I$10*$F$62</f>
        <v>3877529234.62454</v>
      </c>
      <c r="G9" s="30" t="n">
        <f aca="false">TierSum!G9/TierSum!$I$10*$F$62</f>
        <v>2651385130.00159</v>
      </c>
      <c r="H9" s="30" t="n">
        <f aca="false">TierSum!H9/TierSum!$I$10*$F$62</f>
        <v>2049272191.32675</v>
      </c>
      <c r="I9" s="92" t="n">
        <f aca="false">SUM(D9:H9)</f>
        <v>18361044138.9546</v>
      </c>
      <c r="J9" s="27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</row>
    <row r="10" customFormat="false" ht="12" hidden="false" customHeight="true" outlineLevel="0" collapsed="false">
      <c r="A10" s="35" t="s">
        <v>24</v>
      </c>
      <c r="B10" s="36" t="n">
        <f aca="false">SUM(B6:B9)</f>
        <v>3821986.32343334</v>
      </c>
      <c r="C10" s="37" t="n">
        <f aca="false">SUM(C6:C9)</f>
        <v>1</v>
      </c>
      <c r="D10" s="38" t="n">
        <f aca="false">SUM(D6:D9)</f>
        <v>14937113431.9421</v>
      </c>
      <c r="E10" s="38" t="n">
        <f aca="false">SUM(E6:E9)</f>
        <v>2888057825.1993</v>
      </c>
      <c r="F10" s="38" t="n">
        <f aca="false">SUM(F6:F9)</f>
        <v>4288744118.26536</v>
      </c>
      <c r="G10" s="38" t="n">
        <f aca="false">SUM(G6:G9)</f>
        <v>2651385130.00159</v>
      </c>
      <c r="H10" s="38" t="n">
        <f aca="false">SUM(H6:H9)</f>
        <v>2049272191.32675</v>
      </c>
      <c r="I10" s="93" t="n">
        <f aca="false">SUM(I6:I9)</f>
        <v>26814572696.7351</v>
      </c>
      <c r="J10" s="27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</row>
    <row r="11" customFormat="false" ht="12.75" hidden="false" customHeight="false" outlineLevel="0" collapsed="false">
      <c r="A11" s="94" t="s">
        <v>64</v>
      </c>
      <c r="B11" s="95"/>
      <c r="C11" s="96"/>
      <c r="D11" s="97" t="n">
        <f aca="false">D10/$I10</f>
        <v>0.557052077647347</v>
      </c>
      <c r="E11" s="97" t="n">
        <f aca="false">E10/$I10</f>
        <v>0.10770478641828</v>
      </c>
      <c r="F11" s="97" t="n">
        <f aca="false">F10/$I10</f>
        <v>0.159940796624648</v>
      </c>
      <c r="G11" s="97" t="n">
        <f aca="false">G10/$I10</f>
        <v>0.0988785150517955</v>
      </c>
      <c r="H11" s="97" t="n">
        <f aca="false">H10/$I10</f>
        <v>0.0764238242579291</v>
      </c>
      <c r="I11" s="98" t="n">
        <f aca="false">SUM(D11:H11)</f>
        <v>1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</row>
    <row r="12" customFormat="false" ht="11.25" hidden="false" customHeight="false" outlineLevel="0" collapsed="false">
      <c r="A12" s="5"/>
      <c r="B12" s="5"/>
      <c r="C12" s="5"/>
      <c r="D12" s="5"/>
      <c r="E12" s="5"/>
      <c r="F12" s="27"/>
      <c r="G12" s="27"/>
      <c r="H12" s="27"/>
      <c r="I12" s="27"/>
      <c r="J12" s="27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</row>
    <row r="13" customFormat="false" ht="11.25" hidden="false" customHeight="false" outlineLevel="0" collapsed="false">
      <c r="A13" s="5"/>
      <c r="B13" s="5"/>
      <c r="C13" s="5"/>
      <c r="D13" s="5"/>
      <c r="E13" s="5"/>
      <c r="F13" s="27"/>
      <c r="G13" s="27"/>
      <c r="H13" s="27"/>
      <c r="I13" s="27"/>
      <c r="J13" s="27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</row>
    <row r="14" customFormat="false" ht="11.25" hidden="false" customHeight="false" outlineLevel="0" collapsed="false">
      <c r="A14" s="5"/>
      <c r="B14" s="43"/>
      <c r="C14" s="5"/>
      <c r="D14" s="5"/>
      <c r="E14" s="5"/>
      <c r="F14" s="5"/>
      <c r="G14" s="5"/>
      <c r="H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</row>
    <row r="15" customFormat="false" ht="12.75" hidden="false" customHeight="false" outlineLevel="0" collapsed="false">
      <c r="A15" s="4" t="s">
        <v>25</v>
      </c>
      <c r="B15" s="4"/>
      <c r="C15" s="4"/>
      <c r="D15" s="4"/>
      <c r="E15" s="4"/>
      <c r="F15" s="4"/>
      <c r="G15" s="4"/>
      <c r="H15" s="4"/>
      <c r="I15" s="4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</row>
    <row r="16" customFormat="false" ht="12" hidden="false" customHeight="false" outlineLevel="0" collapsed="false">
      <c r="A16" s="44" t="s">
        <v>2</v>
      </c>
      <c r="B16" s="44"/>
      <c r="C16" s="44"/>
      <c r="D16" s="44"/>
      <c r="E16" s="44"/>
      <c r="F16" s="44"/>
      <c r="G16" s="44"/>
      <c r="H16" s="44"/>
      <c r="I16" s="44"/>
    </row>
    <row r="17" customFormat="false" ht="12" hidden="false" customHeight="true" outlineLevel="0" collapsed="false">
      <c r="A17" s="8"/>
      <c r="B17" s="9"/>
      <c r="C17" s="10" t="s">
        <v>7</v>
      </c>
      <c r="D17" s="89" t="s">
        <v>53</v>
      </c>
      <c r="E17" s="89" t="s">
        <v>65</v>
      </c>
      <c r="F17" s="89" t="s">
        <v>66</v>
      </c>
      <c r="G17" s="89" t="s">
        <v>56</v>
      </c>
      <c r="H17" s="89" t="s">
        <v>57</v>
      </c>
      <c r="I17" s="11"/>
      <c r="J17" s="99" t="s">
        <v>34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</row>
    <row r="18" customFormat="false" ht="12" hidden="false" customHeight="true" outlineLevel="0" collapsed="false">
      <c r="A18" s="16" t="s">
        <v>13</v>
      </c>
      <c r="B18" s="17" t="s">
        <v>14</v>
      </c>
      <c r="C18" s="18" t="s">
        <v>15</v>
      </c>
      <c r="D18" s="90" t="s">
        <v>58</v>
      </c>
      <c r="E18" s="90" t="s">
        <v>59</v>
      </c>
      <c r="F18" s="90" t="s">
        <v>60</v>
      </c>
      <c r="G18" s="90" t="s">
        <v>61</v>
      </c>
      <c r="H18" s="90" t="s">
        <v>62</v>
      </c>
      <c r="I18" s="19" t="s">
        <v>63</v>
      </c>
      <c r="J18" s="16" t="s">
        <v>10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</row>
    <row r="19" customFormat="false" ht="12" hidden="false" customHeight="true" outlineLevel="0" collapsed="false">
      <c r="A19" s="12" t="s">
        <v>20</v>
      </c>
      <c r="B19" s="50" t="n">
        <f aca="false">TierSum!B18/TierSum!B$22*E$67/12</f>
        <v>85681.3170360488</v>
      </c>
      <c r="C19" s="21" t="n">
        <f aca="false">B19/B$23</f>
        <v>0.274187724999036</v>
      </c>
      <c r="D19" s="22" t="n">
        <f aca="false">TierSum!D18/TierSum!$I$22*$F$67</f>
        <v>264237239.871369</v>
      </c>
      <c r="E19" s="22" t="n">
        <f aca="false">TierSum!E18/TierSum!$I$22*$F$67</f>
        <v>0</v>
      </c>
      <c r="F19" s="22" t="n">
        <v>0</v>
      </c>
      <c r="G19" s="22" t="n">
        <f aca="false">TierSum!G18/TierSum!$I$22*$F$67</f>
        <v>0</v>
      </c>
      <c r="H19" s="22"/>
      <c r="I19" s="91" t="n">
        <f aca="false">SUM(D19:H19)</f>
        <v>264237239.871369</v>
      </c>
      <c r="J19" s="100" t="n">
        <f aca="false">D19*Prices!C$19+(I19-D19)*Prices!C$20</f>
        <v>23334262.1785608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</row>
    <row r="20" customFormat="false" ht="12" hidden="false" customHeight="true" outlineLevel="0" collapsed="false">
      <c r="A20" s="12" t="s">
        <v>21</v>
      </c>
      <c r="B20" s="50" t="n">
        <f aca="false">TierSum!B19/TierSum!B$22*E$67/12</f>
        <v>48272.6919005578</v>
      </c>
      <c r="C20" s="21" t="n">
        <f aca="false">B20/B$23</f>
        <v>0.15447684547408</v>
      </c>
      <c r="D20" s="22" t="n">
        <f aca="false">TierSum!D19/TierSum!$I$22*$F$67</f>
        <v>278915929.546294</v>
      </c>
      <c r="E20" s="22" t="n">
        <f aca="false">TierSum!E19/TierSum!$I$22*$F$67</f>
        <v>12725819.1018214</v>
      </c>
      <c r="F20" s="22" t="n">
        <v>0</v>
      </c>
      <c r="G20" s="22" t="n">
        <f aca="false">TierSum!G19/TierSum!$I$22*$F$67</f>
        <v>0</v>
      </c>
      <c r="H20" s="22"/>
      <c r="I20" s="91" t="n">
        <f aca="false">SUM(D20:H20)</f>
        <v>291641748.648115</v>
      </c>
      <c r="J20" s="100" t="n">
        <f aca="false">D20*Prices!C$19+(I20-D20)*Prices!C$20</f>
        <v>25922891.1910787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</row>
    <row r="21" customFormat="false" ht="12" hidden="false" customHeight="true" outlineLevel="0" collapsed="false">
      <c r="A21" s="12" t="s">
        <v>22</v>
      </c>
      <c r="B21" s="50" t="n">
        <f aca="false">TierSum!B20/TierSum!B$22*E$67/12</f>
        <v>84821.4367768657</v>
      </c>
      <c r="C21" s="21" t="n">
        <f aca="false">B21/B$23</f>
        <v>0.271436032795965</v>
      </c>
      <c r="D21" s="22" t="n">
        <f aca="false">TierSum!D20/TierSum!$I$22*$F$67</f>
        <v>485692336.904371</v>
      </c>
      <c r="E21" s="22" t="n">
        <f aca="false">TierSum!E20/TierSum!$I$22*$F$67</f>
        <v>127841557.761997</v>
      </c>
      <c r="F21" s="22" t="n">
        <v>0</v>
      </c>
      <c r="G21" s="22" t="n">
        <f aca="false">TierSum!G20/TierSum!$I$22*$F$67</f>
        <v>0</v>
      </c>
      <c r="H21" s="22"/>
      <c r="I21" s="91" t="n">
        <f aca="false">SUM(D21:H21)</f>
        <v>613533894.666368</v>
      </c>
      <c r="J21" s="100" t="n">
        <f aca="false">D21*Prices!C$19+(I21-D21)*Prices!C$20</f>
        <v>55873596.1274286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</row>
    <row r="22" customFormat="false" ht="12" hidden="false" customHeight="true" outlineLevel="0" collapsed="false">
      <c r="A22" s="16" t="s">
        <v>23</v>
      </c>
      <c r="B22" s="52" t="n">
        <f aca="false">TierSum!B21/TierSum!B$22*E$67/12</f>
        <v>93715.9943623006</v>
      </c>
      <c r="C22" s="29" t="n">
        <f aca="false">B22/B$23</f>
        <v>0.29989939673092</v>
      </c>
      <c r="D22" s="30" t="n">
        <f aca="false">TierSum!D21/TierSum!$I$22*$F$67</f>
        <v>441525651.177818</v>
      </c>
      <c r="E22" s="30" t="n">
        <f aca="false">TierSum!E21/TierSum!$I$22*$F$67</f>
        <v>290173093.362835</v>
      </c>
      <c r="F22" s="30" t="n">
        <v>0</v>
      </c>
      <c r="G22" s="30" t="n">
        <f aca="false">TierSum!G21/TierSum!$I$22*$F$67</f>
        <v>92746093.2912215</v>
      </c>
      <c r="H22" s="30" t="n">
        <f aca="false">TierSum!H21/TierSum!$I$22*$F$67</f>
        <v>39195898.653403</v>
      </c>
      <c r="I22" s="92" t="n">
        <f aca="false">SUM(D22:H22)</f>
        <v>863640736.485277</v>
      </c>
      <c r="J22" s="101" t="n">
        <f aca="false">D22*Prices!C$19+(I22-D22)*Prices!C$20</f>
        <v>81858566.807695</v>
      </c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2"/>
      <c r="BN22" s="102"/>
      <c r="BO22" s="102"/>
      <c r="BP22" s="102"/>
      <c r="BQ22" s="102"/>
      <c r="BR22" s="102"/>
      <c r="BS22" s="102"/>
      <c r="BT22" s="102"/>
      <c r="BU22" s="102"/>
      <c r="BV22" s="102"/>
      <c r="BW22" s="102"/>
      <c r="BX22" s="102"/>
      <c r="BY22" s="102"/>
      <c r="BZ22" s="102"/>
      <c r="CA22" s="102"/>
      <c r="CB22" s="102"/>
      <c r="CC22" s="102"/>
      <c r="CD22" s="102"/>
      <c r="CE22" s="102"/>
      <c r="CF22" s="102"/>
      <c r="CG22" s="102"/>
      <c r="CH22" s="102"/>
      <c r="CI22" s="102"/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2"/>
      <c r="DN22" s="102"/>
      <c r="DO22" s="102"/>
      <c r="DP22" s="102"/>
      <c r="DQ22" s="102"/>
      <c r="DR22" s="102"/>
      <c r="DS22" s="102"/>
      <c r="DT22" s="102"/>
      <c r="DU22" s="102"/>
      <c r="DV22" s="102"/>
      <c r="DW22" s="102"/>
      <c r="DX22" s="102"/>
      <c r="DY22" s="102"/>
      <c r="DZ22" s="102"/>
      <c r="EA22" s="102"/>
      <c r="EB22" s="102"/>
      <c r="EC22" s="102"/>
      <c r="ED22" s="102"/>
      <c r="EE22" s="102"/>
      <c r="EF22" s="102"/>
      <c r="EG22" s="102"/>
      <c r="EH22" s="102"/>
      <c r="EI22" s="102"/>
      <c r="EJ22" s="102"/>
      <c r="EK22" s="102"/>
      <c r="EL22" s="102"/>
      <c r="EM22" s="102"/>
      <c r="EN22" s="102"/>
      <c r="EO22" s="102"/>
      <c r="EP22" s="102"/>
      <c r="EQ22" s="102"/>
      <c r="ER22" s="102"/>
      <c r="ES22" s="102"/>
      <c r="ET22" s="102"/>
      <c r="EU22" s="102"/>
      <c r="EV22" s="102"/>
      <c r="EW22" s="102"/>
      <c r="EX22" s="102"/>
      <c r="EY22" s="102"/>
      <c r="EZ22" s="102"/>
      <c r="FA22" s="102"/>
      <c r="FB22" s="102"/>
      <c r="FC22" s="102"/>
      <c r="FD22" s="102"/>
      <c r="FE22" s="102"/>
      <c r="FF22" s="102"/>
      <c r="FG22" s="102"/>
      <c r="FH22" s="102"/>
      <c r="FI22" s="102"/>
      <c r="FJ22" s="102"/>
      <c r="FK22" s="102"/>
      <c r="FL22" s="102"/>
      <c r="FM22" s="102"/>
      <c r="FN22" s="102"/>
      <c r="FO22" s="102"/>
      <c r="FP22" s="102"/>
      <c r="FQ22" s="102"/>
      <c r="FR22" s="102"/>
      <c r="FS22" s="102"/>
      <c r="FT22" s="102"/>
      <c r="FU22" s="102"/>
      <c r="FV22" s="102"/>
      <c r="FW22" s="102"/>
      <c r="FX22" s="102"/>
      <c r="FY22" s="102"/>
      <c r="FZ22" s="102"/>
      <c r="GA22" s="102"/>
      <c r="GB22" s="102"/>
      <c r="GC22" s="102"/>
      <c r="GD22" s="102"/>
      <c r="GE22" s="102"/>
      <c r="GF22" s="102"/>
      <c r="GG22" s="102"/>
      <c r="GH22" s="102"/>
      <c r="GI22" s="102"/>
      <c r="GJ22" s="102"/>
      <c r="GK22" s="102"/>
      <c r="GL22" s="102"/>
      <c r="GM22" s="102"/>
      <c r="GN22" s="102"/>
      <c r="GO22" s="102"/>
      <c r="GP22" s="102"/>
      <c r="GQ22" s="102"/>
      <c r="GR22" s="102"/>
      <c r="GS22" s="102"/>
      <c r="GT22" s="102"/>
      <c r="GU22" s="102"/>
      <c r="GV22" s="102"/>
      <c r="GW22" s="102"/>
      <c r="GX22" s="102"/>
      <c r="GY22" s="102"/>
      <c r="GZ22" s="102"/>
      <c r="HA22" s="102"/>
      <c r="HB22" s="102"/>
      <c r="HC22" s="102"/>
      <c r="HD22" s="102"/>
      <c r="HE22" s="102"/>
      <c r="HF22" s="102"/>
      <c r="HG22" s="102"/>
      <c r="HH22" s="102"/>
      <c r="HI22" s="102"/>
      <c r="HJ22" s="102"/>
      <c r="HK22" s="102"/>
      <c r="HL22" s="102"/>
      <c r="HM22" s="102"/>
      <c r="HN22" s="102"/>
      <c r="HO22" s="102"/>
      <c r="HP22" s="102"/>
      <c r="HQ22" s="102"/>
      <c r="HR22" s="102"/>
      <c r="HS22" s="102"/>
      <c r="HT22" s="102"/>
      <c r="HU22" s="102"/>
      <c r="HV22" s="102"/>
      <c r="HW22" s="102"/>
      <c r="HX22" s="102"/>
      <c r="HY22" s="102"/>
      <c r="HZ22" s="102"/>
      <c r="IA22" s="102"/>
      <c r="IB22" s="102"/>
      <c r="IC22" s="102"/>
      <c r="ID22" s="102"/>
      <c r="IE22" s="102"/>
      <c r="IF22" s="102"/>
      <c r="IG22" s="102"/>
      <c r="IH22" s="102"/>
      <c r="II22" s="102"/>
      <c r="IJ22" s="102"/>
      <c r="IK22" s="102"/>
      <c r="IL22" s="102"/>
      <c r="IM22" s="102"/>
      <c r="IN22" s="102"/>
      <c r="IO22" s="102"/>
      <c r="IP22" s="102"/>
      <c r="IQ22" s="102"/>
      <c r="IR22" s="102"/>
      <c r="IS22" s="102"/>
      <c r="IT22" s="102"/>
      <c r="IU22" s="102"/>
      <c r="IV22" s="102"/>
      <c r="IW22" s="102"/>
    </row>
    <row r="23" customFormat="false" ht="12" hidden="false" customHeight="true" outlineLevel="0" collapsed="false">
      <c r="A23" s="35" t="s">
        <v>24</v>
      </c>
      <c r="B23" s="36" t="n">
        <f aca="false">SUM(B19:B22)</f>
        <v>312491.440075773</v>
      </c>
      <c r="C23" s="37" t="n">
        <f aca="false">SUM(C19:C22)</f>
        <v>1</v>
      </c>
      <c r="D23" s="38" t="n">
        <f aca="false">SUM(D19:D22)</f>
        <v>1470371157.49985</v>
      </c>
      <c r="E23" s="38" t="n">
        <f aca="false">SUM(E19:E22)</f>
        <v>430740470.226653</v>
      </c>
      <c r="F23" s="38" t="n">
        <f aca="false">SUM(F19:F22)</f>
        <v>0</v>
      </c>
      <c r="G23" s="38" t="n">
        <f aca="false">SUM(G19:G22)</f>
        <v>92746093.2912215</v>
      </c>
      <c r="H23" s="38" t="n">
        <f aca="false">SUM(H19:H22)</f>
        <v>39195898.653403</v>
      </c>
      <c r="I23" s="93" t="n">
        <f aca="false">SUM(I19:I22)</f>
        <v>2033053619.67113</v>
      </c>
      <c r="J23" s="103" t="n">
        <f aca="false">SUM(J19:J22)</f>
        <v>186989316.304763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</row>
    <row r="24" customFormat="false" ht="12.75" hidden="false" customHeight="false" outlineLevel="0" collapsed="false">
      <c r="A24" s="94" t="s">
        <v>64</v>
      </c>
      <c r="B24" s="95"/>
      <c r="C24" s="96"/>
      <c r="D24" s="97" t="n">
        <f aca="false">D23/$I23</f>
        <v>0.723232847020386</v>
      </c>
      <c r="E24" s="97" t="n">
        <f aca="false">E23/$I23</f>
        <v>0.211868721050422</v>
      </c>
      <c r="F24" s="97" t="n">
        <f aca="false">F23/$I23</f>
        <v>0</v>
      </c>
      <c r="G24" s="97" t="n">
        <f aca="false">G23/$I23</f>
        <v>0.0456191083175781</v>
      </c>
      <c r="H24" s="97" t="n">
        <f aca="false">H23/$I23</f>
        <v>0.0192793236116141</v>
      </c>
      <c r="I24" s="98" t="n">
        <f aca="false">SUM(D24:H24)</f>
        <v>1</v>
      </c>
      <c r="J24" s="10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</row>
    <row r="25" customFormat="false" ht="12.75" hidden="false" customHeight="false" outlineLevel="0" collapsed="false">
      <c r="A25" s="105"/>
      <c r="B25" s="106"/>
      <c r="C25" s="107"/>
      <c r="D25" s="108"/>
      <c r="E25" s="108"/>
      <c r="F25" s="108"/>
      <c r="G25" s="108"/>
      <c r="H25" s="108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</row>
    <row r="26" customFormat="false" ht="12.75" hidden="false" customHeight="false" outlineLevel="0" collapsed="false">
      <c r="A26" s="105"/>
      <c r="B26" s="106"/>
      <c r="C26" s="107"/>
      <c r="D26" s="108"/>
      <c r="E26" s="108"/>
      <c r="F26" s="108"/>
      <c r="G26" s="108"/>
      <c r="H26" s="108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</row>
    <row r="27" customFormat="false" ht="12.75" hidden="false" customHeight="false" outlineLevel="0" collapsed="false">
      <c r="A27" s="105"/>
      <c r="B27" s="106"/>
      <c r="C27" s="107"/>
      <c r="D27" s="109" t="s">
        <v>67</v>
      </c>
      <c r="E27" s="109" t="s">
        <v>68</v>
      </c>
      <c r="F27" s="109" t="s">
        <v>69</v>
      </c>
      <c r="G27" s="109" t="s">
        <v>70</v>
      </c>
      <c r="H27" s="109" t="s">
        <v>71</v>
      </c>
      <c r="I27" s="110" t="s">
        <v>72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</row>
    <row r="28" customFormat="false" ht="11.25" hidden="false" customHeight="false" outlineLevel="0" collapsed="false">
      <c r="A28" s="105" t="s">
        <v>73</v>
      </c>
      <c r="B28" s="27" t="n">
        <f aca="false">I28-J28</f>
        <v>0</v>
      </c>
      <c r="C28" s="107"/>
      <c r="D28" s="111" t="n">
        <v>0.065</v>
      </c>
      <c r="E28" s="111" t="n">
        <f aca="false">(I28-F28)/(G$10+H$10)</f>
        <v>0.158997719565916</v>
      </c>
      <c r="F28" s="112" t="n">
        <f aca="false">F$10*D28</f>
        <v>278768367.687248</v>
      </c>
      <c r="G28" s="112" t="n">
        <f aca="false">G$10*$E28</f>
        <v>421564189.361232</v>
      </c>
      <c r="H28" s="112" t="n">
        <f aca="false">H$10*$E28</f>
        <v>325829605.190801</v>
      </c>
      <c r="I28" s="112" t="n">
        <v>1026162162.23928</v>
      </c>
      <c r="J28" s="113" t="n">
        <f aca="false">SUM(F28:H28)</f>
        <v>1026162162.23928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</row>
    <row r="30" customFormat="false" ht="11.25" hidden="false" customHeight="false" outlineLevel="0" collapsed="false">
      <c r="A30" s="105"/>
      <c r="B30" s="27"/>
      <c r="C30" s="107"/>
      <c r="D30" s="114"/>
      <c r="E30" s="114"/>
      <c r="F30" s="112"/>
      <c r="G30" s="112"/>
      <c r="H30" s="112"/>
      <c r="I30" s="112"/>
      <c r="J30" s="113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</row>
    <row r="31" customFormat="false" ht="12.75" hidden="false" customHeight="false" outlineLevel="0" collapsed="false">
      <c r="A31" s="4" t="s">
        <v>1</v>
      </c>
      <c r="B31" s="4"/>
      <c r="C31" s="4"/>
      <c r="D31" s="4"/>
      <c r="E31" s="4"/>
      <c r="F31" s="4"/>
      <c r="G31" s="4"/>
      <c r="H31" s="4"/>
      <c r="I31" s="4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</row>
    <row r="32" customFormat="false" ht="12" hidden="false" customHeight="false" outlineLevel="0" collapsed="false">
      <c r="A32" s="44" t="s">
        <v>74</v>
      </c>
      <c r="B32" s="44"/>
      <c r="C32" s="44"/>
      <c r="D32" s="44"/>
      <c r="E32" s="44"/>
      <c r="F32" s="44"/>
      <c r="G32" s="44"/>
      <c r="H32" s="44"/>
      <c r="I32" s="44"/>
    </row>
    <row r="33" customFormat="false" ht="12" hidden="false" customHeight="true" outlineLevel="0" collapsed="false">
      <c r="A33" s="8"/>
      <c r="B33" s="9"/>
      <c r="C33" s="10" t="s">
        <v>7</v>
      </c>
      <c r="D33" s="89" t="s">
        <v>53</v>
      </c>
      <c r="E33" s="89" t="s">
        <v>54</v>
      </c>
      <c r="F33" s="89" t="s">
        <v>55</v>
      </c>
      <c r="G33" s="89" t="s">
        <v>56</v>
      </c>
      <c r="H33" s="89" t="s">
        <v>57</v>
      </c>
      <c r="I33" s="11" t="s">
        <v>75</v>
      </c>
      <c r="J33" s="9" t="s">
        <v>34</v>
      </c>
      <c r="K33" s="115" t="s">
        <v>7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</row>
    <row r="34" customFormat="false" ht="12" hidden="false" customHeight="true" outlineLevel="0" collapsed="false">
      <c r="A34" s="16" t="s">
        <v>13</v>
      </c>
      <c r="B34" s="17" t="s">
        <v>14</v>
      </c>
      <c r="C34" s="18" t="s">
        <v>15</v>
      </c>
      <c r="D34" s="90" t="s">
        <v>58</v>
      </c>
      <c r="E34" s="90" t="s">
        <v>59</v>
      </c>
      <c r="F34" s="90" t="s">
        <v>60</v>
      </c>
      <c r="G34" s="90" t="s">
        <v>61</v>
      </c>
      <c r="H34" s="90" t="s">
        <v>62</v>
      </c>
      <c r="I34" s="19" t="s">
        <v>10</v>
      </c>
      <c r="J34" s="17" t="s">
        <v>10</v>
      </c>
      <c r="K34" s="116" t="s">
        <v>42</v>
      </c>
      <c r="L34" s="5"/>
      <c r="M34" s="5" t="n">
        <v>0.78</v>
      </c>
      <c r="N34" s="5" t="n">
        <v>11.4</v>
      </c>
      <c r="O34" s="5" t="n">
        <f aca="false">M34*N34</f>
        <v>8.892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</row>
    <row r="35" customFormat="false" ht="12" hidden="false" customHeight="true" outlineLevel="0" collapsed="false">
      <c r="A35" s="12" t="s">
        <v>20</v>
      </c>
      <c r="B35" s="50" t="n">
        <f aca="false">B6</f>
        <v>694603.898179944</v>
      </c>
      <c r="C35" s="21" t="n">
        <f aca="false">B35/B$10</f>
        <v>0.18173898057175</v>
      </c>
      <c r="D35" s="117" t="n">
        <f aca="false">D6*Prices!E$6</f>
        <v>185474595.193495</v>
      </c>
      <c r="E35" s="117" t="n">
        <f aca="false">E6*Prices!E$7</f>
        <v>0</v>
      </c>
      <c r="F35" s="117" t="n">
        <f aca="false">F6*Prices!E$8</f>
        <v>0</v>
      </c>
      <c r="G35" s="117" t="n">
        <f aca="false">G6*Prices!E$9</f>
        <v>0</v>
      </c>
      <c r="H35" s="117" t="n">
        <f aca="false">H6*Prices!E$9</f>
        <v>0</v>
      </c>
      <c r="I35" s="118" t="n">
        <f aca="false">SUM(D35:H35)</f>
        <v>185474595.193495</v>
      </c>
      <c r="J35" s="119" t="n">
        <f aca="false">D6*Prices!E$6+(I6-D6)*Prices!E$7</f>
        <v>185474595.193495</v>
      </c>
      <c r="K35" s="120" t="n">
        <f aca="false">L35/J35</f>
        <v>0</v>
      </c>
      <c r="L35" s="113" t="n">
        <f aca="false">I35-J35</f>
        <v>0</v>
      </c>
      <c r="M35" s="5" t="n">
        <v>0.14</v>
      </c>
      <c r="N35" s="5" t="n">
        <v>13</v>
      </c>
      <c r="O35" s="5" t="n">
        <f aca="false">M35*N35</f>
        <v>1.82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</row>
    <row r="36" customFormat="false" ht="12" hidden="false" customHeight="true" outlineLevel="0" collapsed="false">
      <c r="A36" s="12" t="s">
        <v>21</v>
      </c>
      <c r="B36" s="50" t="n">
        <f aca="false">B7</f>
        <v>437099.235656871</v>
      </c>
      <c r="C36" s="21" t="n">
        <f aca="false">B36/B$10</f>
        <v>0.11436441647552</v>
      </c>
      <c r="D36" s="117" t="n">
        <f aca="false">D7*Prices!E$6</f>
        <v>186644112.670432</v>
      </c>
      <c r="E36" s="117" t="n">
        <f aca="false">E7*Prices!E$7</f>
        <v>8375697.26248372</v>
      </c>
      <c r="F36" s="117" t="n">
        <f aca="false">F7*Prices!E$8</f>
        <v>0</v>
      </c>
      <c r="G36" s="117" t="n">
        <f aca="false">G7*Prices!E$9</f>
        <v>0</v>
      </c>
      <c r="H36" s="117" t="n">
        <f aca="false">H7*Prices!E$9</f>
        <v>0</v>
      </c>
      <c r="I36" s="118" t="n">
        <f aca="false">SUM(D36:H36)</f>
        <v>195019809.932916</v>
      </c>
      <c r="J36" s="119" t="n">
        <f aca="false">D7*Prices!E$6+(I7-D7)*Prices!E$7</f>
        <v>195019809.932916</v>
      </c>
      <c r="K36" s="120" t="n">
        <f aca="false">L36/J36</f>
        <v>0</v>
      </c>
      <c r="L36" s="113" t="n">
        <f aca="false">I36-J36</f>
        <v>0</v>
      </c>
      <c r="M36" s="5" t="n">
        <v>0.08</v>
      </c>
      <c r="N36" s="5" t="n">
        <v>19</v>
      </c>
      <c r="O36" s="5" t="n">
        <f aca="false">M36*N36</f>
        <v>1.52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</row>
    <row r="37" customFormat="false" ht="12" hidden="false" customHeight="true" outlineLevel="0" collapsed="false">
      <c r="A37" s="12" t="s">
        <v>22</v>
      </c>
      <c r="B37" s="50" t="n">
        <f aca="false">B8</f>
        <v>952011.724101631</v>
      </c>
      <c r="C37" s="21" t="n">
        <f aca="false">B37/B$10</f>
        <v>0.249088207946915</v>
      </c>
      <c r="D37" s="117" t="n">
        <f aca="false">D8*Prices!E$6</f>
        <v>457041153.015069</v>
      </c>
      <c r="E37" s="117" t="n">
        <f aca="false">E8*Prices!E$7</f>
        <v>93994387.6548273</v>
      </c>
      <c r="F37" s="117" t="n">
        <f aca="false">F8*Prices!E$8</f>
        <v>80141257.4578745</v>
      </c>
      <c r="G37" s="117" t="n">
        <f aca="false">G8*Prices!E$9</f>
        <v>0</v>
      </c>
      <c r="H37" s="117" t="n">
        <f aca="false">H8*Prices!E$9</f>
        <v>0</v>
      </c>
      <c r="I37" s="118" t="n">
        <f aca="false">SUM(D37:H37)</f>
        <v>631176798.127771</v>
      </c>
      <c r="J37" s="119" t="n">
        <f aca="false">D8*Prices!E$6+(I8-D8)*Prices!E$7</f>
        <v>604447830.691118</v>
      </c>
      <c r="K37" s="120" t="n">
        <f aca="false">L37/J37</f>
        <v>0.0442204704516705</v>
      </c>
      <c r="L37" s="113" t="n">
        <f aca="false">I37-J37</f>
        <v>26728967.4366529</v>
      </c>
      <c r="M37" s="5"/>
      <c r="N37" s="5"/>
      <c r="O37" s="5" t="n">
        <f aca="false">SUM(O34:O36)</f>
        <v>12.232</v>
      </c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</row>
    <row r="38" customFormat="false" ht="12" hidden="false" customHeight="true" outlineLevel="0" collapsed="false">
      <c r="A38" s="16" t="s">
        <v>23</v>
      </c>
      <c r="B38" s="52" t="n">
        <f aca="false">B9</f>
        <v>1738271.4654949</v>
      </c>
      <c r="C38" s="29" t="n">
        <f aca="false">B38/B$10</f>
        <v>0.454808395005816</v>
      </c>
      <c r="D38" s="121" t="n">
        <f aca="false">D9*Prices!E$6</f>
        <v>878167141.50542</v>
      </c>
      <c r="E38" s="121" t="n">
        <f aca="false">E9*Prices!E$7</f>
        <v>272756857.940002</v>
      </c>
      <c r="F38" s="121" t="n">
        <f aca="false">F9*Prices!E$8</f>
        <v>755687795.006743</v>
      </c>
      <c r="G38" s="121" t="n">
        <f aca="false">G9*Prices!E$9</f>
        <v>765949952.512009</v>
      </c>
      <c r="H38" s="121" t="n">
        <f aca="false">H9*Prices!E$9</f>
        <v>592007520.850041</v>
      </c>
      <c r="I38" s="122" t="n">
        <f aca="false">SUM(D38:H38)</f>
        <v>3264569267.81421</v>
      </c>
      <c r="J38" s="123" t="n">
        <f aca="false">D9*Prices!E$6+(I9-D9)*Prices!E$7</f>
        <v>2265136073.01159</v>
      </c>
      <c r="K38" s="124" t="n">
        <f aca="false">L38/J38</f>
        <v>0.441224351468583</v>
      </c>
      <c r="L38" s="113" t="n">
        <f aca="false">I38-J38</f>
        <v>999433194.802629</v>
      </c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</row>
    <row r="39" customFormat="false" ht="12" hidden="false" customHeight="true" outlineLevel="0" collapsed="false">
      <c r="A39" s="35" t="s">
        <v>24</v>
      </c>
      <c r="B39" s="36" t="n">
        <f aca="false">SUM(B35:B38)</f>
        <v>3821986.32343334</v>
      </c>
      <c r="C39" s="37" t="n">
        <f aca="false">SUM(C35:C38)</f>
        <v>1</v>
      </c>
      <c r="D39" s="125" t="n">
        <f aca="false">SUM(D35:D38)</f>
        <v>1707327002.38442</v>
      </c>
      <c r="E39" s="125" t="n">
        <f aca="false">SUM(E35:E38)</f>
        <v>375126942.857313</v>
      </c>
      <c r="F39" s="125" t="n">
        <f aca="false">SUM(F35:F38)</f>
        <v>835829052.464617</v>
      </c>
      <c r="G39" s="125" t="n">
        <f aca="false">SUM(G35:G38)</f>
        <v>765949952.512009</v>
      </c>
      <c r="H39" s="125" t="n">
        <f aca="false">SUM(H35:H38)</f>
        <v>592007520.850041</v>
      </c>
      <c r="I39" s="126" t="n">
        <f aca="false">SUM(I35:I38)</f>
        <v>4276240471.0684</v>
      </c>
      <c r="J39" s="127" t="n">
        <f aca="false">SUM(J35:J38)</f>
        <v>3250078308.82911</v>
      </c>
      <c r="K39" s="128" t="n">
        <f aca="false">L39/J39</f>
        <v>0.315734596133153</v>
      </c>
      <c r="L39" s="113" t="n">
        <f aca="false">I39-J39</f>
        <v>1026162162.23928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</row>
    <row r="40" customFormat="false" ht="12" hidden="false" customHeight="true" outlineLevel="0" collapsed="false">
      <c r="A40" s="14"/>
      <c r="B40" s="22"/>
      <c r="C40" s="21"/>
      <c r="D40" s="129"/>
      <c r="E40" s="129"/>
      <c r="F40" s="129"/>
      <c r="G40" s="129"/>
      <c r="H40" s="129"/>
      <c r="I40" s="129"/>
      <c r="J40" s="129"/>
      <c r="K40" s="130"/>
      <c r="L40" s="113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</row>
    <row r="41" customFormat="false" ht="11.25" hidden="false" customHeight="false" outlineLevel="0" collapsed="false">
      <c r="A41" s="105"/>
      <c r="B41" s="27"/>
      <c r="C41" s="107"/>
      <c r="D41" s="114"/>
      <c r="E41" s="114"/>
      <c r="F41" s="112"/>
      <c r="G41" s="112"/>
      <c r="H41" s="112"/>
      <c r="I41" s="112"/>
      <c r="J41" s="113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</row>
    <row r="42" customFormat="false" ht="12.75" hidden="false" customHeight="false" outlineLevel="0" collapsed="false">
      <c r="A42" s="4" t="s">
        <v>26</v>
      </c>
      <c r="B42" s="4"/>
      <c r="C42" s="4"/>
      <c r="D42" s="4"/>
      <c r="E42" s="4"/>
      <c r="F42" s="4"/>
      <c r="G42" s="4"/>
      <c r="H42" s="4"/>
      <c r="I42" s="4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</row>
    <row r="43" customFormat="false" ht="12" hidden="false" customHeight="false" outlineLevel="0" collapsed="false">
      <c r="A43" s="44" t="s">
        <v>2</v>
      </c>
      <c r="B43" s="44"/>
      <c r="C43" s="44"/>
      <c r="D43" s="44"/>
      <c r="E43" s="44"/>
      <c r="F43" s="44"/>
      <c r="G43" s="44"/>
      <c r="H43" s="44"/>
      <c r="I43" s="44"/>
    </row>
    <row r="44" customFormat="false" ht="12" hidden="false" customHeight="true" outlineLevel="0" collapsed="false">
      <c r="A44" s="8"/>
      <c r="B44" s="9"/>
      <c r="C44" s="10" t="s">
        <v>7</v>
      </c>
      <c r="D44" s="89" t="s">
        <v>53</v>
      </c>
      <c r="E44" s="89" t="s">
        <v>54</v>
      </c>
      <c r="F44" s="89" t="s">
        <v>55</v>
      </c>
      <c r="G44" s="89" t="s">
        <v>56</v>
      </c>
      <c r="H44" s="89" t="s">
        <v>57</v>
      </c>
      <c r="I44" s="11"/>
      <c r="J44" s="0"/>
      <c r="K44" s="0"/>
      <c r="L44" s="0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</row>
    <row r="45" customFormat="false" ht="12" hidden="false" customHeight="true" outlineLevel="0" collapsed="false">
      <c r="A45" s="16" t="s">
        <v>13</v>
      </c>
      <c r="B45" s="17" t="s">
        <v>14</v>
      </c>
      <c r="C45" s="18" t="s">
        <v>15</v>
      </c>
      <c r="D45" s="90" t="s">
        <v>58</v>
      </c>
      <c r="E45" s="90" t="s">
        <v>59</v>
      </c>
      <c r="F45" s="90" t="s">
        <v>60</v>
      </c>
      <c r="G45" s="90" t="s">
        <v>61</v>
      </c>
      <c r="H45" s="90" t="s">
        <v>62</v>
      </c>
      <c r="I45" s="19" t="s">
        <v>63</v>
      </c>
      <c r="J45" s="0"/>
      <c r="K45" s="0"/>
      <c r="L45" s="0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</row>
    <row r="46" customFormat="false" ht="12" hidden="false" customHeight="true" outlineLevel="0" collapsed="false">
      <c r="A46" s="12" t="s">
        <v>20</v>
      </c>
      <c r="B46" s="50" t="n">
        <f aca="false">B6+B19</f>
        <v>780285.215215993</v>
      </c>
      <c r="C46" s="21" t="n">
        <f aca="false">B46/B$50</f>
        <v>0.188726426854387</v>
      </c>
      <c r="D46" s="22" t="n">
        <f aca="false">D6+D19</f>
        <v>1886922913.60559</v>
      </c>
      <c r="E46" s="22" t="n">
        <f aca="false">E6+E19</f>
        <v>0</v>
      </c>
      <c r="F46" s="22" t="n">
        <f aca="false">F6+F19</f>
        <v>0</v>
      </c>
      <c r="G46" s="22" t="n">
        <f aca="false">G6+G19</f>
        <v>0</v>
      </c>
      <c r="H46" s="22" t="n">
        <f aca="false">H6+H19</f>
        <v>0</v>
      </c>
      <c r="I46" s="131" t="n">
        <f aca="false">SUM(D46:H46)</f>
        <v>1886922913.60559</v>
      </c>
      <c r="J46" s="0"/>
      <c r="K46" s="0"/>
      <c r="L46" s="0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</row>
    <row r="47" customFormat="false" ht="12" hidden="false" customHeight="true" outlineLevel="0" collapsed="false">
      <c r="A47" s="12" t="s">
        <v>29</v>
      </c>
      <c r="B47" s="50" t="n">
        <f aca="false">B7+B20+B21+B22</f>
        <v>663909.358696595</v>
      </c>
      <c r="C47" s="21" t="n">
        <f aca="false">B47/B$50</f>
        <v>0.160578771170632</v>
      </c>
      <c r="D47" s="22" t="n">
        <f aca="false">D7+D20+D21+D22</f>
        <v>2839051500.76802</v>
      </c>
      <c r="E47" s="22" t="n">
        <f aca="false">E7+E20+E21+E22</f>
        <v>495223969.695305</v>
      </c>
      <c r="F47" s="22" t="n">
        <f aca="false">F7+F20+F21+F22</f>
        <v>0</v>
      </c>
      <c r="G47" s="22" t="n">
        <f aca="false">G7+G20+G21+G22</f>
        <v>92746093.2912215</v>
      </c>
      <c r="H47" s="22" t="n">
        <f aca="false">H7+H20+H21+H22</f>
        <v>39195898.653403</v>
      </c>
      <c r="I47" s="131" t="n">
        <f aca="false">SUM(D47:H47)</f>
        <v>3466217462.40795</v>
      </c>
      <c r="J47" s="0"/>
      <c r="K47" s="0"/>
      <c r="L47" s="0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</row>
    <row r="48" customFormat="false" ht="12" hidden="false" customHeight="true" outlineLevel="0" collapsed="false">
      <c r="A48" s="12" t="s">
        <v>22</v>
      </c>
      <c r="B48" s="50" t="n">
        <f aca="false">B8</f>
        <v>952011.724101631</v>
      </c>
      <c r="C48" s="21" t="n">
        <f aca="false">B48/B$50</f>
        <v>0.230261662670938</v>
      </c>
      <c r="D48" s="22" t="n">
        <f aca="false">D8</f>
        <v>3998575279.43823</v>
      </c>
      <c r="E48" s="22" t="n">
        <f aca="false">E8</f>
        <v>723651638.359117</v>
      </c>
      <c r="F48" s="22" t="n">
        <f aca="false">F8</f>
        <v>411214883.640813</v>
      </c>
      <c r="G48" s="22" t="n">
        <f aca="false">G8</f>
        <v>0</v>
      </c>
      <c r="H48" s="22" t="n">
        <f aca="false">H8</f>
        <v>0</v>
      </c>
      <c r="I48" s="131" t="n">
        <f aca="false">SUM(D48:H48)</f>
        <v>5133441801.43816</v>
      </c>
      <c r="J48" s="0"/>
      <c r="K48" s="0"/>
      <c r="L48" s="0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</row>
    <row r="49" customFormat="false" ht="12" hidden="false" customHeight="true" outlineLevel="0" collapsed="false">
      <c r="A49" s="16" t="s">
        <v>23</v>
      </c>
      <c r="B49" s="52" t="n">
        <f aca="false">B9</f>
        <v>1738271.4654949</v>
      </c>
      <c r="C49" s="29" t="n">
        <f aca="false">B49/B$50</f>
        <v>0.420433139304043</v>
      </c>
      <c r="D49" s="30" t="n">
        <f aca="false">D9</f>
        <v>7682934895.63013</v>
      </c>
      <c r="E49" s="30" t="n">
        <f aca="false">E9</f>
        <v>2099922687.37154</v>
      </c>
      <c r="F49" s="30" t="n">
        <f aca="false">F9</f>
        <v>3877529234.62454</v>
      </c>
      <c r="G49" s="30" t="n">
        <f aca="false">G9</f>
        <v>2651385130.00159</v>
      </c>
      <c r="H49" s="30" t="n">
        <f aca="false">H9</f>
        <v>2049272191.32675</v>
      </c>
      <c r="I49" s="132" t="n">
        <f aca="false">SUM(D49:H49)</f>
        <v>18361044138.9546</v>
      </c>
      <c r="J49" s="0"/>
      <c r="K49" s="0"/>
      <c r="L49" s="0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</row>
    <row r="50" customFormat="false" ht="12" hidden="false" customHeight="true" outlineLevel="0" collapsed="false">
      <c r="A50" s="35" t="s">
        <v>24</v>
      </c>
      <c r="B50" s="36" t="n">
        <f aca="false">SUM(B46:B49)</f>
        <v>4134477.76350911</v>
      </c>
      <c r="C50" s="37" t="n">
        <f aca="false">SUM(C46:C49)</f>
        <v>1</v>
      </c>
      <c r="D50" s="133" t="n">
        <f aca="false">SUM(D46:D49)</f>
        <v>16407484589.442</v>
      </c>
      <c r="E50" s="133" t="n">
        <f aca="false">SUM(E46:E49)</f>
        <v>3318798295.42596</v>
      </c>
      <c r="F50" s="133" t="n">
        <f aca="false">SUM(F46:F49)</f>
        <v>4288744118.26536</v>
      </c>
      <c r="G50" s="133" t="n">
        <f aca="false">SUM(G46:G49)</f>
        <v>2744131223.29281</v>
      </c>
      <c r="H50" s="133" t="n">
        <f aca="false">SUM(H46:H49)</f>
        <v>2088468089.98015</v>
      </c>
      <c r="I50" s="134" t="n">
        <f aca="false">SUM(I46:I49)</f>
        <v>28847626316.4063</v>
      </c>
      <c r="J50" s="0"/>
      <c r="K50" s="0"/>
      <c r="L50" s="0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</row>
    <row r="51" customFormat="false" ht="11.25" hidden="false" customHeight="false" outlineLevel="0" collapsed="false">
      <c r="A51" s="105"/>
      <c r="B51" s="27"/>
      <c r="C51" s="107"/>
      <c r="D51" s="114"/>
      <c r="E51" s="114"/>
      <c r="F51" s="112"/>
      <c r="G51" s="112"/>
      <c r="H51" s="112"/>
      <c r="I51" s="112"/>
      <c r="J51" s="113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</row>
    <row r="52" customFormat="false" ht="11.25" hidden="false" customHeight="false" outlineLevel="0" collapsed="false">
      <c r="A52" s="55" t="s">
        <v>32</v>
      </c>
      <c r="B52" s="27"/>
      <c r="C52" s="107"/>
      <c r="D52" s="114"/>
      <c r="E52" s="114"/>
      <c r="F52" s="112"/>
      <c r="G52" s="112"/>
      <c r="H52" s="112"/>
      <c r="I52" s="112"/>
      <c r="J52" s="113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</row>
    <row r="53" customFormat="false" ht="11.25" hidden="false" customHeight="false" outlineLevel="0" collapsed="false">
      <c r="A53" s="55"/>
      <c r="B53" s="27"/>
      <c r="C53" s="107"/>
      <c r="D53" s="114"/>
      <c r="E53" s="114"/>
      <c r="F53" s="112"/>
      <c r="G53" s="112"/>
      <c r="H53" s="112"/>
      <c r="I53" s="112"/>
      <c r="J53" s="113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</row>
    <row r="54" customFormat="false" ht="11.25" hidden="false" customHeight="false" outlineLevel="0" collapsed="false">
      <c r="A54" s="55"/>
      <c r="B54" s="27"/>
      <c r="C54" s="107"/>
      <c r="D54" s="114"/>
      <c r="E54" s="114"/>
      <c r="F54" s="112"/>
      <c r="G54" s="112"/>
      <c r="H54" s="112"/>
      <c r="I54" s="112"/>
      <c r="J54" s="113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</row>
    <row r="55" customFormat="false" ht="11.25" hidden="false" customHeight="false" outlineLevel="0" collapsed="false">
      <c r="A55" s="55"/>
      <c r="B55" s="27"/>
      <c r="C55" s="107"/>
      <c r="D55" s="114"/>
      <c r="E55" s="114"/>
      <c r="F55" s="112"/>
      <c r="G55" s="112"/>
      <c r="H55" s="112"/>
      <c r="I55" s="112"/>
      <c r="J55" s="113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  <c r="IW55" s="5"/>
    </row>
    <row r="56" customFormat="false" ht="11.25" hidden="false" customHeight="false" outlineLevel="0" collapsed="false">
      <c r="A56" s="5"/>
      <c r="B56" s="5"/>
      <c r="C56" s="135"/>
      <c r="D56" s="136"/>
      <c r="E56" s="137"/>
      <c r="F56" s="137"/>
      <c r="G56" s="138" t="s">
        <v>76</v>
      </c>
      <c r="H56" s="13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  <c r="IV56" s="5"/>
      <c r="IW56" s="5"/>
    </row>
    <row r="57" customFormat="false" ht="13.5" hidden="false" customHeight="false" outlineLevel="0" collapsed="false">
      <c r="A57" s="5"/>
      <c r="B57" s="5"/>
      <c r="C57" s="5"/>
      <c r="D57" s="139" t="s">
        <v>2</v>
      </c>
      <c r="E57" s="140" t="s">
        <v>77</v>
      </c>
      <c r="F57" s="140" t="s">
        <v>78</v>
      </c>
      <c r="G57" s="141" t="s">
        <v>79</v>
      </c>
      <c r="H57" s="140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</row>
    <row r="58" customFormat="false" ht="11.25" hidden="false" customHeight="false" outlineLevel="0" collapsed="false">
      <c r="A58" s="5"/>
      <c r="B58" s="5"/>
      <c r="C58" s="5"/>
      <c r="D58" s="142"/>
      <c r="E58" s="27"/>
      <c r="F58" s="27"/>
      <c r="G58" s="131"/>
      <c r="H58" s="27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</row>
    <row r="59" customFormat="false" ht="11.25" hidden="false" customHeight="false" outlineLevel="0" collapsed="false">
      <c r="A59" s="5"/>
      <c r="B59" s="5"/>
      <c r="C59" s="5"/>
      <c r="D59" s="142" t="s">
        <v>80</v>
      </c>
      <c r="E59" s="27" t="n">
        <v>43357524.9458441</v>
      </c>
      <c r="F59" s="27" t="n">
        <v>23367450385.9106</v>
      </c>
      <c r="G59" s="143" t="n">
        <v>2581981586.01532</v>
      </c>
      <c r="H59" s="144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  <c r="IT59" s="5"/>
      <c r="IU59" s="5"/>
      <c r="IV59" s="5"/>
      <c r="IW59" s="5"/>
    </row>
    <row r="60" customFormat="false" ht="11.25" hidden="false" customHeight="false" outlineLevel="0" collapsed="false">
      <c r="A60" s="5"/>
      <c r="B60" s="5"/>
      <c r="C60" s="5"/>
      <c r="D60" s="142" t="s">
        <v>81</v>
      </c>
      <c r="E60" s="27" t="n">
        <f aca="false">E72-E65</f>
        <v>1139039.84</v>
      </c>
      <c r="F60" s="27" t="n">
        <f aca="false">F72-F65</f>
        <v>1199011059.46663</v>
      </c>
      <c r="G60" s="143" t="n">
        <f aca="false">G72-G65</f>
        <v>109415543.015856</v>
      </c>
      <c r="H60" s="144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5"/>
      <c r="IU60" s="5"/>
      <c r="IV60" s="5"/>
      <c r="IW60" s="5"/>
    </row>
    <row r="61" customFormat="false" ht="11.25" hidden="false" customHeight="false" outlineLevel="0" collapsed="false">
      <c r="A61" s="5"/>
      <c r="B61" s="5"/>
      <c r="C61" s="5"/>
      <c r="D61" s="139" t="s">
        <v>82</v>
      </c>
      <c r="E61" s="145" t="n">
        <v>1367271.095356</v>
      </c>
      <c r="F61" s="145" t="n">
        <v>2248111251.35793</v>
      </c>
      <c r="G61" s="146" t="n">
        <v>211472700.499817</v>
      </c>
      <c r="H61" s="147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  <c r="IU61" s="5"/>
      <c r="IV61" s="5"/>
      <c r="IW61" s="5"/>
    </row>
    <row r="62" customFormat="false" ht="11.25" hidden="false" customHeight="false" outlineLevel="0" collapsed="false">
      <c r="A62" s="5"/>
      <c r="B62" s="5"/>
      <c r="C62" s="5"/>
      <c r="D62" s="142" t="s">
        <v>83</v>
      </c>
      <c r="E62" s="27" t="n">
        <f aca="false">SUM(E59:E61)</f>
        <v>45863835.8812001</v>
      </c>
      <c r="F62" s="27" t="n">
        <f aca="false">SUM(F59:F61)</f>
        <v>26814572696.7351</v>
      </c>
      <c r="G62" s="143" t="n">
        <f aca="false">SUM(G59:G61)</f>
        <v>2902869829.531</v>
      </c>
      <c r="H62" s="144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</row>
    <row r="63" customFormat="false" ht="11.25" hidden="false" customHeight="false" outlineLevel="0" collapsed="false">
      <c r="A63" s="5"/>
      <c r="B63" s="5"/>
      <c r="C63" s="5"/>
      <c r="D63" s="142"/>
      <c r="E63" s="27"/>
      <c r="F63" s="27"/>
      <c r="G63" s="143"/>
      <c r="H63" s="144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  <c r="IW63" s="5"/>
    </row>
    <row r="64" customFormat="false" ht="11.25" hidden="false" customHeight="false" outlineLevel="0" collapsed="false">
      <c r="A64" s="5"/>
      <c r="B64" s="5"/>
      <c r="C64" s="5"/>
      <c r="D64" s="142" t="s">
        <v>50</v>
      </c>
      <c r="E64" s="27" t="n">
        <v>3666381.3935986</v>
      </c>
      <c r="F64" s="27" t="n">
        <v>1922395400.48178</v>
      </c>
      <c r="G64" s="143" t="n">
        <v>168120011.16367</v>
      </c>
      <c r="H64" s="144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</row>
    <row r="65" customFormat="false" ht="11.25" hidden="false" customHeight="false" outlineLevel="0" collapsed="false">
      <c r="A65" s="5"/>
      <c r="B65" s="5"/>
      <c r="C65" s="5"/>
      <c r="D65" s="142" t="s">
        <v>84</v>
      </c>
      <c r="E65" s="27" t="n">
        <f aca="false">7079+7221</f>
        <v>14300</v>
      </c>
      <c r="F65" s="27" t="n">
        <v>13845847</v>
      </c>
      <c r="G65" s="143" t="n">
        <v>1204837</v>
      </c>
      <c r="H65" s="144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</row>
    <row r="66" customFormat="false" ht="11.25" hidden="false" customHeight="false" outlineLevel="0" collapsed="false">
      <c r="A66" s="5"/>
      <c r="B66" s="5"/>
      <c r="C66" s="5"/>
      <c r="D66" s="139" t="s">
        <v>85</v>
      </c>
      <c r="E66" s="145" t="n">
        <v>69215.8873106705</v>
      </c>
      <c r="F66" s="145" t="n">
        <v>96812372.1893459</v>
      </c>
      <c r="G66" s="146" t="n">
        <v>7831339.59778285</v>
      </c>
      <c r="H66" s="147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</row>
    <row r="67" customFormat="false" ht="11.25" hidden="false" customHeight="false" outlineLevel="0" collapsed="false">
      <c r="A67" s="5"/>
      <c r="B67" s="5"/>
      <c r="C67" s="5"/>
      <c r="D67" s="142" t="s">
        <v>86</v>
      </c>
      <c r="E67" s="27" t="n">
        <f aca="false">SUM(E64:E66)</f>
        <v>3749897.28090927</v>
      </c>
      <c r="F67" s="27" t="n">
        <f aca="false">SUM(F64:F66)</f>
        <v>2033053619.67113</v>
      </c>
      <c r="G67" s="143" t="n">
        <f aca="false">SUM(G64:G66)</f>
        <v>177156187.761453</v>
      </c>
      <c r="H67" s="144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</row>
    <row r="68" customFormat="false" ht="11.25" hidden="false" customHeight="false" outlineLevel="0" collapsed="false">
      <c r="A68" s="5"/>
      <c r="B68" s="5"/>
      <c r="C68" s="5"/>
      <c r="D68" s="142"/>
      <c r="E68" s="27"/>
      <c r="F68" s="27"/>
      <c r="G68" s="143"/>
      <c r="H68" s="144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</row>
    <row r="69" customFormat="false" ht="11.25" hidden="false" customHeight="false" outlineLevel="0" collapsed="false">
      <c r="A69" s="5"/>
      <c r="B69" s="5"/>
      <c r="C69" s="5"/>
      <c r="D69" s="142" t="s">
        <v>24</v>
      </c>
      <c r="E69" s="27" t="n">
        <f aca="false">E62+E67</f>
        <v>49613733.1621094</v>
      </c>
      <c r="F69" s="27" t="n">
        <f aca="false">F62+F67</f>
        <v>28847626316.4063</v>
      </c>
      <c r="G69" s="143" t="n">
        <f aca="false">G62+G67</f>
        <v>3080026017.29245</v>
      </c>
      <c r="H69" s="144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</row>
    <row r="70" customFormat="false" ht="12" hidden="false" customHeight="false" outlineLevel="0" collapsed="false">
      <c r="B70" s="7"/>
      <c r="C70" s="7"/>
      <c r="D70" s="60"/>
      <c r="E70" s="88"/>
      <c r="F70" s="88"/>
      <c r="G70" s="148"/>
      <c r="H70" s="88"/>
    </row>
    <row r="71" customFormat="false" ht="12" hidden="false" customHeight="false" outlineLevel="0" collapsed="false">
      <c r="B71" s="7"/>
      <c r="C71" s="7"/>
      <c r="D71" s="60"/>
      <c r="E71" s="88"/>
      <c r="F71" s="88"/>
      <c r="G71" s="148"/>
      <c r="H71" s="88"/>
    </row>
    <row r="72" customFormat="false" ht="11.25" hidden="false" customHeight="false" outlineLevel="0" collapsed="false">
      <c r="A72" s="5"/>
      <c r="B72" s="5"/>
      <c r="C72" s="5"/>
      <c r="D72" s="142" t="s">
        <v>87</v>
      </c>
      <c r="E72" s="27" t="n">
        <v>1153339.84</v>
      </c>
      <c r="F72" s="27" t="n">
        <v>1212856906.46663</v>
      </c>
      <c r="G72" s="143" t="n">
        <v>110620380.015856</v>
      </c>
      <c r="H72" s="144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</row>
    <row r="73" customFormat="false" ht="11.25" hidden="false" customHeight="false" outlineLevel="0" collapsed="false">
      <c r="A73" s="5"/>
      <c r="B73" s="5"/>
      <c r="C73" s="5"/>
      <c r="D73" s="142"/>
      <c r="E73" s="149"/>
      <c r="F73" s="149"/>
      <c r="G73" s="150"/>
      <c r="H73" s="149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</row>
    <row r="74" customFormat="false" ht="11.25" hidden="false" customHeight="false" outlineLevel="0" collapsed="false">
      <c r="A74" s="5"/>
      <c r="B74" s="5"/>
      <c r="C74" s="5"/>
      <c r="D74" s="151" t="s">
        <v>88</v>
      </c>
      <c r="E74" s="133" t="n">
        <v>49613733.1621094</v>
      </c>
      <c r="F74" s="133" t="n">
        <v>28847626316.4063</v>
      </c>
      <c r="G74" s="152" t="n">
        <v>3080026017.29245</v>
      </c>
      <c r="H74" s="144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</row>
    <row r="75" customFormat="false" ht="11.25" hidden="false" customHeight="false" outlineLevel="0" collapsed="false">
      <c r="A75" s="5"/>
      <c r="B75" s="27"/>
      <c r="C75" s="27"/>
      <c r="D75" s="27"/>
      <c r="E75" s="5"/>
      <c r="F75" s="5"/>
      <c r="G75" s="5"/>
      <c r="H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</row>
  </sheetData>
  <mergeCells count="8">
    <mergeCell ref="A2:I2"/>
    <mergeCell ref="A3:I3"/>
    <mergeCell ref="A15:I15"/>
    <mergeCell ref="A16:I16"/>
    <mergeCell ref="A31:I31"/>
    <mergeCell ref="A32:I32"/>
    <mergeCell ref="A42:I42"/>
    <mergeCell ref="A43:I43"/>
  </mergeCells>
  <printOptions headings="true" gridLines="false" gridLinesSet="true" horizontalCentered="false" verticalCentered="false"/>
  <pageMargins left="0.747916666666667" right="0.747916666666667" top="0.984027777777778" bottom="0.984027777777778" header="0.5" footer="0.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&amp;CPacific Gas and Electric Company
Rate Design Workpapers
3 Cent Surcharge</oddHeader>
    <oddFooter>&amp;L&amp;D  &amp;T&amp;R&amp;F  &amp;A</oddFooter>
  </headerFooter>
  <rowBreaks count="1" manualBreakCount="1">
    <brk id="40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65"/>
  <sheetViews>
    <sheetView showFormulas="false" showGridLines="true" showRowColHeaders="true" showZeros="true" rightToLeft="false" tabSelected="false" showOutlineSymbols="true" defaultGridColor="true" view="normal" topLeftCell="A50" colorId="64" zoomScale="100" zoomScaleNormal="100" zoomScalePageLayoutView="100" workbookViewId="0">
      <selection pane="topLeft" activeCell="E56" activeCellId="0" sqref="E5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5" width="18.7"/>
    <col collapsed="false" customWidth="true" hidden="false" outlineLevel="0" max="2" min="2" style="5" width="8.7"/>
    <col collapsed="false" customWidth="true" hidden="false" outlineLevel="0" max="3" min="3" style="5" width="6.7"/>
    <col collapsed="false" customWidth="true" hidden="false" outlineLevel="0" max="4" min="4" style="5" width="11.99"/>
    <col collapsed="false" customWidth="true" hidden="false" outlineLevel="0" max="5" min="5" style="5" width="11.85"/>
    <col collapsed="false" customWidth="true" hidden="false" outlineLevel="0" max="6" min="6" style="5" width="11.42"/>
    <col collapsed="false" customWidth="true" hidden="false" outlineLevel="0" max="7" min="7" style="5" width="11.7"/>
    <col collapsed="false" customWidth="true" hidden="false" outlineLevel="0" max="8" min="8" style="5" width="10.99"/>
    <col collapsed="false" customWidth="true" hidden="false" outlineLevel="0" max="9" min="9" style="5" width="12.28"/>
    <col collapsed="false" customWidth="true" hidden="false" outlineLevel="0" max="10" min="10" style="5" width="12.7"/>
    <col collapsed="false" customWidth="false" hidden="false" outlineLevel="0" max="257" min="11" style="5" width="9.14"/>
  </cols>
  <sheetData>
    <row r="2" customFormat="false" ht="12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false" ht="11.25" hidden="false" customHeight="false" outlineLevel="0" collapsed="false">
      <c r="A3" s="153" t="s">
        <v>89</v>
      </c>
      <c r="B3" s="153"/>
      <c r="C3" s="153"/>
      <c r="D3" s="153"/>
      <c r="E3" s="153"/>
      <c r="F3" s="153"/>
      <c r="G3" s="153"/>
      <c r="H3" s="153"/>
      <c r="I3" s="153"/>
    </row>
    <row r="4" customFormat="false" ht="12" hidden="false" customHeight="true" outlineLevel="0" collapsed="false">
      <c r="A4" s="8"/>
      <c r="B4" s="9"/>
      <c r="C4" s="10" t="s">
        <v>7</v>
      </c>
      <c r="D4" s="10" t="s">
        <v>53</v>
      </c>
      <c r="E4" s="10" t="s">
        <v>54</v>
      </c>
      <c r="F4" s="10" t="s">
        <v>55</v>
      </c>
      <c r="G4" s="89" t="s">
        <v>56</v>
      </c>
      <c r="H4" s="89" t="s">
        <v>57</v>
      </c>
      <c r="I4" s="11"/>
    </row>
    <row r="5" customFormat="false" ht="12" hidden="false" customHeight="true" outlineLevel="0" collapsed="false">
      <c r="A5" s="16" t="s">
        <v>13</v>
      </c>
      <c r="B5" s="17" t="s">
        <v>14</v>
      </c>
      <c r="C5" s="18" t="s">
        <v>15</v>
      </c>
      <c r="D5" s="90" t="s">
        <v>58</v>
      </c>
      <c r="E5" s="90" t="s">
        <v>59</v>
      </c>
      <c r="F5" s="90" t="s">
        <v>60</v>
      </c>
      <c r="G5" s="90" t="s">
        <v>61</v>
      </c>
      <c r="H5" s="90" t="s">
        <v>62</v>
      </c>
      <c r="I5" s="19" t="s">
        <v>63</v>
      </c>
    </row>
    <row r="6" customFormat="false" ht="12" hidden="false" customHeight="true" outlineLevel="0" collapsed="false">
      <c r="A6" s="12" t="s">
        <v>20</v>
      </c>
      <c r="B6" s="50" t="n">
        <f aca="false">B29</f>
        <v>688603</v>
      </c>
      <c r="C6" s="154" t="n">
        <f aca="false">B6/B$10</f>
        <v>0.18173898057175</v>
      </c>
      <c r="D6" s="22" t="n">
        <f aca="false">D29</f>
        <v>1598427576</v>
      </c>
      <c r="E6" s="22" t="n">
        <f aca="false">E29</f>
        <v>0</v>
      </c>
      <c r="F6" s="22"/>
      <c r="G6" s="22" t="n">
        <f aca="false">F29</f>
        <v>0</v>
      </c>
      <c r="H6" s="22"/>
      <c r="I6" s="91" t="n">
        <f aca="false">SUM(D6:H6)</f>
        <v>1598427576</v>
      </c>
    </row>
    <row r="7" customFormat="false" ht="12" hidden="false" customHeight="true" outlineLevel="0" collapsed="false">
      <c r="A7" s="12" t="s">
        <v>21</v>
      </c>
      <c r="B7" s="50" t="n">
        <f aca="false">B30</f>
        <v>433323</v>
      </c>
      <c r="C7" s="154" t="n">
        <f aca="false">B7/B$10</f>
        <v>0.11436441647552</v>
      </c>
      <c r="D7" s="22" t="n">
        <f aca="false">D30</f>
        <v>1608506525</v>
      </c>
      <c r="E7" s="22" t="n">
        <f aca="false">E30</f>
        <v>63519513</v>
      </c>
      <c r="F7" s="22"/>
      <c r="G7" s="22" t="n">
        <f aca="false">F30</f>
        <v>0</v>
      </c>
      <c r="H7" s="22"/>
      <c r="I7" s="91" t="n">
        <f aca="false">SUM(D7:H7)</f>
        <v>1672026038</v>
      </c>
    </row>
    <row r="8" customFormat="false" ht="12" hidden="false" customHeight="true" outlineLevel="0" collapsed="false">
      <c r="A8" s="12" t="s">
        <v>22</v>
      </c>
      <c r="B8" s="50" t="n">
        <f aca="false">B38-B30</f>
        <v>943787</v>
      </c>
      <c r="C8" s="154" t="n">
        <f aca="false">B8/B$10</f>
        <v>0.249088207946915</v>
      </c>
      <c r="D8" s="22" t="n">
        <f aca="false">D38-D30</f>
        <v>3938799174</v>
      </c>
      <c r="E8" s="22" t="n">
        <f aca="false">I8-D8-F8</f>
        <v>712833516</v>
      </c>
      <c r="F8" s="22" t="n">
        <f aca="false">E47</f>
        <v>405067488</v>
      </c>
      <c r="G8" s="22" t="n">
        <f aca="false">F38-F30</f>
        <v>0</v>
      </c>
      <c r="H8" s="22"/>
      <c r="I8" s="91" t="n">
        <f aca="false">G47</f>
        <v>5056700178</v>
      </c>
    </row>
    <row r="9" customFormat="false" ht="12" hidden="false" customHeight="true" outlineLevel="0" collapsed="false">
      <c r="A9" s="16" t="s">
        <v>23</v>
      </c>
      <c r="B9" s="52" t="n">
        <f aca="false">B39</f>
        <v>1723254</v>
      </c>
      <c r="C9" s="155" t="n">
        <f aca="false">B9/B$10</f>
        <v>0.454808395005816</v>
      </c>
      <c r="D9" s="30" t="n">
        <f aca="false">D39</f>
        <v>7568080005</v>
      </c>
      <c r="E9" s="30" t="n">
        <f aca="false">I9-D9-F9-G9-H9</f>
        <v>2068530206</v>
      </c>
      <c r="F9" s="30" t="n">
        <f aca="false">E48</f>
        <v>3819562689</v>
      </c>
      <c r="G9" s="30" t="n">
        <f aca="false">F39-H9</f>
        <v>2611748643</v>
      </c>
      <c r="H9" s="30" t="n">
        <v>2018636902</v>
      </c>
      <c r="I9" s="92" t="n">
        <f aca="false">G39</f>
        <v>18086558445</v>
      </c>
      <c r="J9" s="43"/>
    </row>
    <row r="10" customFormat="false" ht="12" hidden="false" customHeight="true" outlineLevel="0" collapsed="false">
      <c r="A10" s="35" t="s">
        <v>24</v>
      </c>
      <c r="B10" s="36" t="n">
        <f aca="false">SUM(B6:B9)</f>
        <v>3788967</v>
      </c>
      <c r="C10" s="156" t="n">
        <f aca="false">SUM(C6:C9)</f>
        <v>1</v>
      </c>
      <c r="D10" s="38" t="n">
        <f aca="false">SUM(D6:D9)</f>
        <v>14713813280</v>
      </c>
      <c r="E10" s="38" t="n">
        <f aca="false">SUM(E6:E9)</f>
        <v>2844883235</v>
      </c>
      <c r="F10" s="38" t="n">
        <f aca="false">SUM(F6:F9)</f>
        <v>4224630177</v>
      </c>
      <c r="G10" s="38" t="n">
        <f aca="false">SUM(G6:G9)</f>
        <v>2611748643</v>
      </c>
      <c r="H10" s="38" t="n">
        <f aca="false">SUM(H6:H9)</f>
        <v>2018636902</v>
      </c>
      <c r="I10" s="93" t="n">
        <f aca="false">SUM(I6:I9)</f>
        <v>26413712237</v>
      </c>
    </row>
    <row r="11" customFormat="false" ht="12.75" hidden="false" customHeight="false" outlineLevel="0" collapsed="false">
      <c r="A11" s="94" t="s">
        <v>64</v>
      </c>
      <c r="B11" s="95"/>
      <c r="C11" s="96"/>
      <c r="D11" s="97" t="n">
        <f aca="false">D10/$I10</f>
        <v>0.557052077647347</v>
      </c>
      <c r="E11" s="97" t="n">
        <f aca="false">E10/$I10</f>
        <v>0.10770478641828</v>
      </c>
      <c r="F11" s="97" t="n">
        <f aca="false">F10/$I10</f>
        <v>0.159940796624648</v>
      </c>
      <c r="G11" s="97" t="n">
        <f aca="false">G10/$I10</f>
        <v>0.0988785150517955</v>
      </c>
      <c r="H11" s="97" t="n">
        <f aca="false">H10/$I10</f>
        <v>0.0764238242579291</v>
      </c>
      <c r="I11" s="98" t="n">
        <f aca="false">SUM(D11:H11)</f>
        <v>1</v>
      </c>
    </row>
    <row r="13" customFormat="false" ht="11.25" hidden="false" customHeight="false" outlineLevel="0" collapsed="false">
      <c r="B13" s="43"/>
    </row>
    <row r="14" customFormat="false" ht="12.75" hidden="false" customHeight="false" outlineLevel="0" collapsed="false">
      <c r="A14" s="4" t="s">
        <v>25</v>
      </c>
      <c r="B14" s="4"/>
      <c r="C14" s="4"/>
      <c r="D14" s="4"/>
      <c r="E14" s="4"/>
      <c r="F14" s="4"/>
      <c r="G14" s="4"/>
      <c r="H14" s="4"/>
      <c r="I14" s="4"/>
    </row>
    <row r="15" customFormat="false" ht="11.25" hidden="false" customHeight="false" outlineLevel="0" collapsed="false">
      <c r="A15" s="153" t="s">
        <v>89</v>
      </c>
      <c r="B15" s="153"/>
      <c r="C15" s="153"/>
      <c r="D15" s="153"/>
      <c r="E15" s="153"/>
      <c r="F15" s="153"/>
      <c r="G15" s="153"/>
      <c r="H15" s="153"/>
      <c r="I15" s="153"/>
    </row>
    <row r="16" customFormat="false" ht="12" hidden="false" customHeight="true" outlineLevel="0" collapsed="false">
      <c r="A16" s="8"/>
      <c r="B16" s="9"/>
      <c r="C16" s="10" t="s">
        <v>7</v>
      </c>
      <c r="D16" s="10" t="s">
        <v>53</v>
      </c>
      <c r="E16" s="10" t="s">
        <v>65</v>
      </c>
      <c r="F16" s="10" t="s">
        <v>66</v>
      </c>
      <c r="G16" s="89" t="s">
        <v>56</v>
      </c>
      <c r="H16" s="89" t="s">
        <v>57</v>
      </c>
      <c r="I16" s="11"/>
    </row>
    <row r="17" customFormat="false" ht="12" hidden="false" customHeight="true" outlineLevel="0" collapsed="false">
      <c r="A17" s="157" t="s">
        <v>13</v>
      </c>
      <c r="B17" s="17" t="s">
        <v>14</v>
      </c>
      <c r="C17" s="18" t="s">
        <v>15</v>
      </c>
      <c r="D17" s="18" t="s">
        <v>58</v>
      </c>
      <c r="E17" s="18" t="s">
        <v>59</v>
      </c>
      <c r="F17" s="18" t="s">
        <v>60</v>
      </c>
      <c r="G17" s="90" t="s">
        <v>61</v>
      </c>
      <c r="H17" s="90" t="s">
        <v>62</v>
      </c>
      <c r="I17" s="19" t="s">
        <v>63</v>
      </c>
    </row>
    <row r="18" customFormat="false" ht="12" hidden="false" customHeight="true" outlineLevel="0" collapsed="false">
      <c r="A18" s="12" t="s">
        <v>20</v>
      </c>
      <c r="B18" s="50" t="n">
        <f aca="false">B54</f>
        <v>78220</v>
      </c>
      <c r="C18" s="154" t="n">
        <f aca="false">B18/B$22</f>
        <v>0.274187724999036</v>
      </c>
      <c r="D18" s="22" t="n">
        <f aca="false">D54</f>
        <v>252973794</v>
      </c>
      <c r="E18" s="22" t="n">
        <f aca="false">E54</f>
        <v>0</v>
      </c>
      <c r="F18" s="22"/>
      <c r="G18" s="22" t="n">
        <f aca="false">F54</f>
        <v>0</v>
      </c>
      <c r="H18" s="22"/>
      <c r="I18" s="91" t="n">
        <f aca="false">SUM(D18:H18)</f>
        <v>252973794</v>
      </c>
    </row>
    <row r="19" customFormat="false" ht="12" hidden="false" customHeight="true" outlineLevel="0" collapsed="false">
      <c r="A19" s="12" t="s">
        <v>21</v>
      </c>
      <c r="B19" s="50" t="n">
        <f aca="false">B55</f>
        <v>44069</v>
      </c>
      <c r="C19" s="154" t="n">
        <f aca="false">B19/B$22</f>
        <v>0.15447684547408</v>
      </c>
      <c r="D19" s="22" t="n">
        <f aca="false">D55</f>
        <v>267026786</v>
      </c>
      <c r="E19" s="22" t="n">
        <f aca="false">E55</f>
        <v>12183365</v>
      </c>
      <c r="F19" s="22"/>
      <c r="G19" s="22" t="n">
        <f aca="false">F55</f>
        <v>0</v>
      </c>
      <c r="H19" s="22"/>
      <c r="I19" s="91" t="n">
        <f aca="false">SUM(D19:H19)</f>
        <v>279210151</v>
      </c>
    </row>
    <row r="20" customFormat="false" ht="12" hidden="false" customHeight="true" outlineLevel="0" collapsed="false">
      <c r="A20" s="12" t="s">
        <v>22</v>
      </c>
      <c r="B20" s="50" t="n">
        <f aca="false">B63-B55</f>
        <v>77435</v>
      </c>
      <c r="C20" s="154" t="n">
        <f aca="false">B20/B$22</f>
        <v>0.271436032795965</v>
      </c>
      <c r="D20" s="22" t="n">
        <f aca="false">D63-D55</f>
        <v>464989088</v>
      </c>
      <c r="E20" s="22" t="n">
        <f aca="false">E63-E55</f>
        <v>122392150</v>
      </c>
      <c r="F20" s="22"/>
      <c r="G20" s="22" t="n">
        <v>0</v>
      </c>
      <c r="H20" s="22"/>
      <c r="I20" s="91" t="n">
        <f aca="false">SUM(D20:H20)</f>
        <v>587381238</v>
      </c>
    </row>
    <row r="21" customFormat="false" ht="12" hidden="false" customHeight="true" outlineLevel="0" collapsed="false">
      <c r="A21" s="16" t="s">
        <v>23</v>
      </c>
      <c r="B21" s="52" t="n">
        <f aca="false">B64</f>
        <v>85555</v>
      </c>
      <c r="C21" s="154" t="n">
        <f aca="false">B21/B$22</f>
        <v>0.29989939673092</v>
      </c>
      <c r="D21" s="30" t="n">
        <f aca="false">D64</f>
        <v>422705063</v>
      </c>
      <c r="E21" s="30" t="n">
        <f aca="false">E64</f>
        <v>277804099</v>
      </c>
      <c r="F21" s="30" t="s">
        <v>90</v>
      </c>
      <c r="G21" s="30" t="n">
        <f aca="false">F64-H21</f>
        <v>88792674</v>
      </c>
      <c r="H21" s="30" t="n">
        <v>37525124</v>
      </c>
      <c r="I21" s="91" t="n">
        <f aca="false">SUM(D21:H21)</f>
        <v>826826960</v>
      </c>
    </row>
    <row r="22" customFormat="false" ht="12" hidden="false" customHeight="true" outlineLevel="0" collapsed="false">
      <c r="A22" s="35" t="s">
        <v>24</v>
      </c>
      <c r="B22" s="36" t="n">
        <f aca="false">SUM(B18:B21)</f>
        <v>285279</v>
      </c>
      <c r="C22" s="156" t="n">
        <f aca="false">SUM(C18:C21)</f>
        <v>1</v>
      </c>
      <c r="D22" s="38" t="n">
        <f aca="false">SUM(D18:D21)</f>
        <v>1407694731</v>
      </c>
      <c r="E22" s="38" t="n">
        <f aca="false">SUM(E18:E21)</f>
        <v>412379614</v>
      </c>
      <c r="F22" s="38" t="n">
        <f aca="false">SUM(F18:F21)</f>
        <v>0</v>
      </c>
      <c r="G22" s="38" t="n">
        <f aca="false">SUM(G18:G21)</f>
        <v>88792674</v>
      </c>
      <c r="H22" s="38" t="n">
        <f aca="false">SUM(H18:H21)</f>
        <v>37525124</v>
      </c>
      <c r="I22" s="93" t="n">
        <f aca="false">SUM(I18:I21)</f>
        <v>1946392143</v>
      </c>
    </row>
    <row r="23" customFormat="false" ht="12.75" hidden="false" customHeight="false" outlineLevel="0" collapsed="false">
      <c r="A23" s="94" t="s">
        <v>64</v>
      </c>
      <c r="B23" s="95"/>
      <c r="C23" s="96"/>
      <c r="D23" s="97" t="n">
        <f aca="false">D22/$I22</f>
        <v>0.723232847020386</v>
      </c>
      <c r="E23" s="97" t="n">
        <f aca="false">E22/$I22</f>
        <v>0.211868721050422</v>
      </c>
      <c r="F23" s="97" t="n">
        <f aca="false">F22/$I22</f>
        <v>0</v>
      </c>
      <c r="G23" s="97" t="n">
        <f aca="false">G22/$I22</f>
        <v>0.0456191083175781</v>
      </c>
      <c r="H23" s="97" t="n">
        <f aca="false">H22/$I22</f>
        <v>0.0192793236116141</v>
      </c>
      <c r="I23" s="98" t="n">
        <f aca="false">SUM(D23:H23)</f>
        <v>1</v>
      </c>
    </row>
    <row r="24" customFormat="false" ht="12.75" hidden="false" customHeight="false" outlineLevel="0" collapsed="false">
      <c r="A24" s="105"/>
      <c r="B24" s="106"/>
      <c r="C24" s="107"/>
      <c r="D24" s="158"/>
      <c r="E24" s="158"/>
      <c r="F24" s="158"/>
      <c r="G24" s="158"/>
      <c r="H24" s="158"/>
      <c r="I24" s="159"/>
    </row>
    <row r="25" customFormat="false" ht="11.25" hidden="false" customHeight="false" outlineLevel="0" collapsed="false">
      <c r="J25" s="154"/>
    </row>
    <row r="26" customFormat="false" ht="11.25" hidden="false" customHeight="false" outlineLevel="0" collapsed="false">
      <c r="A26" s="160" t="s">
        <v>91</v>
      </c>
      <c r="B26" s="161" t="s">
        <v>83</v>
      </c>
      <c r="C26" s="137" t="s">
        <v>7</v>
      </c>
      <c r="D26" s="10" t="s">
        <v>53</v>
      </c>
      <c r="E26" s="10" t="s">
        <v>54</v>
      </c>
      <c r="F26" s="10" t="s">
        <v>92</v>
      </c>
      <c r="G26" s="47"/>
      <c r="J26" s="5" t="s">
        <v>93</v>
      </c>
    </row>
    <row r="27" customFormat="false" ht="11.25" hidden="false" customHeight="false" outlineLevel="0" collapsed="false">
      <c r="A27" s="162" t="s">
        <v>13</v>
      </c>
      <c r="B27" s="163" t="s">
        <v>14</v>
      </c>
      <c r="C27" s="163" t="s">
        <v>15</v>
      </c>
      <c r="D27" s="18" t="s">
        <v>58</v>
      </c>
      <c r="E27" s="18" t="s">
        <v>59</v>
      </c>
      <c r="F27" s="18" t="s">
        <v>60</v>
      </c>
      <c r="G27" s="19" t="s">
        <v>63</v>
      </c>
      <c r="H27" s="164"/>
      <c r="J27" s="164" t="s">
        <v>94</v>
      </c>
    </row>
    <row r="28" customFormat="false" ht="11.25" hidden="false" customHeight="false" outlineLevel="0" collapsed="false">
      <c r="A28" s="162"/>
      <c r="B28" s="165"/>
      <c r="C28" s="165"/>
      <c r="D28" s="165"/>
      <c r="E28" s="165"/>
      <c r="F28" s="165"/>
      <c r="G28" s="48"/>
    </row>
    <row r="29" customFormat="false" ht="11.25" hidden="false" customHeight="false" outlineLevel="0" collapsed="false">
      <c r="A29" s="166" t="s">
        <v>20</v>
      </c>
      <c r="B29" s="167" t="n">
        <f aca="false">'130%Baseline'!B24</f>
        <v>688603</v>
      </c>
      <c r="C29" s="154" t="n">
        <f aca="false">B29/B$32</f>
        <v>0.18173898057175</v>
      </c>
      <c r="D29" s="167" t="n">
        <f aca="false">'130%Baseline'!C24</f>
        <v>1598427576</v>
      </c>
      <c r="E29" s="167" t="n">
        <f aca="false">'130%Baseline'!D24</f>
        <v>0</v>
      </c>
      <c r="F29" s="167" t="n">
        <f aca="false">'130%Baseline'!E24</f>
        <v>0</v>
      </c>
      <c r="G29" s="91" t="n">
        <f aca="false">SUM(D29:F29)</f>
        <v>1598427576</v>
      </c>
      <c r="H29" s="43"/>
      <c r="J29" s="154" t="n">
        <f aca="false">F29/G29</f>
        <v>0</v>
      </c>
    </row>
    <row r="30" customFormat="false" ht="11.25" hidden="false" customHeight="false" outlineLevel="0" collapsed="false">
      <c r="A30" s="166" t="s">
        <v>21</v>
      </c>
      <c r="B30" s="167" t="n">
        <f aca="false">'130%Baseline'!B40</f>
        <v>433323</v>
      </c>
      <c r="C30" s="154" t="n">
        <f aca="false">B30/B$32</f>
        <v>0.11436441647552</v>
      </c>
      <c r="D30" s="167" t="n">
        <f aca="false">'130%Baseline'!C40</f>
        <v>1608506525</v>
      </c>
      <c r="E30" s="167" t="n">
        <f aca="false">'130%Baseline'!D40</f>
        <v>63519513</v>
      </c>
      <c r="F30" s="167" t="n">
        <f aca="false">'130%Baseline'!E40</f>
        <v>0</v>
      </c>
      <c r="G30" s="91" t="n">
        <f aca="false">SUM(D30:F30)</f>
        <v>1672026038</v>
      </c>
      <c r="H30" s="43"/>
      <c r="J30" s="154"/>
    </row>
    <row r="31" customFormat="false" ht="11.25" hidden="false" customHeight="false" outlineLevel="0" collapsed="false">
      <c r="A31" s="162" t="s">
        <v>95</v>
      </c>
      <c r="B31" s="168" t="n">
        <f aca="false">'130%Baseline'!B59</f>
        <v>2667041</v>
      </c>
      <c r="C31" s="154" t="n">
        <f aca="false">B31/B$32</f>
        <v>0.703896602952731</v>
      </c>
      <c r="D31" s="168" t="n">
        <f aca="false">'130%Baseline'!C59</f>
        <v>11506879179</v>
      </c>
      <c r="E31" s="168" t="n">
        <f aca="false">'130%Baseline'!D59</f>
        <v>2781363979</v>
      </c>
      <c r="F31" s="168" t="n">
        <f aca="false">'130%Baseline'!E59</f>
        <v>8855015465</v>
      </c>
      <c r="G31" s="92" t="n">
        <f aca="false">SUM(D31:F31)</f>
        <v>23143258623</v>
      </c>
      <c r="H31" s="169"/>
      <c r="J31" s="154" t="n">
        <f aca="false">F31/G31</f>
        <v>0.38261748741812</v>
      </c>
    </row>
    <row r="32" customFormat="false" ht="11.25" hidden="false" customHeight="false" outlineLevel="0" collapsed="false">
      <c r="A32" s="104" t="s">
        <v>88</v>
      </c>
      <c r="B32" s="38" t="n">
        <f aca="false">SUM(B29:B31)</f>
        <v>3788967</v>
      </c>
      <c r="C32" s="170" t="n">
        <f aca="false">SUM(C29:C31)</f>
        <v>1</v>
      </c>
      <c r="D32" s="38" t="n">
        <f aca="false">SUM(D29:D31)</f>
        <v>14713813280</v>
      </c>
      <c r="E32" s="38" t="n">
        <f aca="false">SUM(E29:E31)</f>
        <v>2844883492</v>
      </c>
      <c r="F32" s="38" t="n">
        <f aca="false">SUM(F29:F31)</f>
        <v>8855015465</v>
      </c>
      <c r="G32" s="93" t="n">
        <f aca="false">SUM(G29:G31)</f>
        <v>26413712237</v>
      </c>
      <c r="H32" s="43"/>
      <c r="J32" s="154" t="n">
        <f aca="false">F32/G32</f>
        <v>0.335243126204578</v>
      </c>
    </row>
    <row r="33" customFormat="false" ht="11.25" hidden="false" customHeight="false" outlineLevel="0" collapsed="false">
      <c r="A33" s="165"/>
      <c r="B33" s="22"/>
      <c r="C33" s="171"/>
      <c r="D33" s="22"/>
      <c r="E33" s="22"/>
      <c r="F33" s="22"/>
      <c r="G33" s="22"/>
      <c r="H33" s="43"/>
      <c r="J33" s="154"/>
    </row>
    <row r="34" customFormat="false" ht="11.25" hidden="false" customHeight="false" outlineLevel="0" collapsed="false">
      <c r="G34" s="154"/>
      <c r="H34" s="154"/>
      <c r="J34" s="154" t="e">
        <f aca="false">F34/G34</f>
        <v>#DIV/0!</v>
      </c>
    </row>
    <row r="35" customFormat="false" ht="11.25" hidden="false" customHeight="false" outlineLevel="0" collapsed="false">
      <c r="A35" s="8" t="s">
        <v>96</v>
      </c>
      <c r="B35" s="137"/>
      <c r="C35" s="137"/>
      <c r="D35" s="10" t="s">
        <v>53</v>
      </c>
      <c r="E35" s="10" t="s">
        <v>65</v>
      </c>
      <c r="F35" s="10" t="s">
        <v>97</v>
      </c>
      <c r="G35" s="47"/>
      <c r="J35" s="154"/>
    </row>
    <row r="36" customFormat="false" ht="11.25" hidden="false" customHeight="false" outlineLevel="0" collapsed="false">
      <c r="A36" s="162" t="s">
        <v>13</v>
      </c>
      <c r="B36" s="107" t="s">
        <v>83</v>
      </c>
      <c r="C36" s="165"/>
      <c r="D36" s="18" t="s">
        <v>58</v>
      </c>
      <c r="E36" s="18" t="s">
        <v>59</v>
      </c>
      <c r="F36" s="18" t="s">
        <v>60</v>
      </c>
      <c r="G36" s="19" t="s">
        <v>63</v>
      </c>
      <c r="H36" s="164"/>
      <c r="J36" s="154"/>
    </row>
    <row r="37" customFormat="false" ht="11.25" hidden="false" customHeight="false" outlineLevel="0" collapsed="false">
      <c r="A37" s="166" t="s">
        <v>98</v>
      </c>
      <c r="B37" s="22" t="n">
        <v>688603</v>
      </c>
      <c r="C37" s="154" t="n">
        <f aca="false">B37/B$40</f>
        <v>0.18173898057175</v>
      </c>
      <c r="D37" s="22" t="n">
        <v>1598427576</v>
      </c>
      <c r="E37" s="22" t="n">
        <v>0</v>
      </c>
      <c r="F37" s="22" t="n">
        <v>0</v>
      </c>
      <c r="G37" s="91" t="n">
        <f aca="false">SUM(D37:F37)</f>
        <v>1598427576</v>
      </c>
      <c r="H37" s="43"/>
      <c r="J37" s="154" t="n">
        <f aca="false">F37/G37</f>
        <v>0</v>
      </c>
    </row>
    <row r="38" customFormat="false" ht="11.25" hidden="false" customHeight="false" outlineLevel="0" collapsed="false">
      <c r="A38" s="166" t="s">
        <v>99</v>
      </c>
      <c r="B38" s="22" t="n">
        <v>1377110</v>
      </c>
      <c r="C38" s="154" t="n">
        <f aca="false">B38/B$40</f>
        <v>0.363452624422435</v>
      </c>
      <c r="D38" s="22" t="n">
        <v>5547305699</v>
      </c>
      <c r="E38" s="22" t="n">
        <v>1181420517</v>
      </c>
      <c r="F38" s="22" t="n">
        <v>0</v>
      </c>
      <c r="G38" s="91" t="n">
        <f aca="false">SUM(D38:F38)</f>
        <v>6728726216</v>
      </c>
      <c r="H38" s="43"/>
      <c r="J38" s="154"/>
    </row>
    <row r="39" customFormat="false" ht="11.25" hidden="false" customHeight="false" outlineLevel="0" collapsed="false">
      <c r="A39" s="162" t="s">
        <v>23</v>
      </c>
      <c r="B39" s="30" t="n">
        <v>1723254</v>
      </c>
      <c r="C39" s="155" t="n">
        <f aca="false">B39/B$40</f>
        <v>0.454808395005816</v>
      </c>
      <c r="D39" s="30" t="n">
        <v>7568080005</v>
      </c>
      <c r="E39" s="30" t="n">
        <v>5888092895</v>
      </c>
      <c r="F39" s="30" t="n">
        <v>4630385545</v>
      </c>
      <c r="G39" s="92" t="n">
        <f aca="false">SUM(D39:F39)</f>
        <v>18086558445</v>
      </c>
      <c r="H39" s="43"/>
      <c r="J39" s="154" t="n">
        <f aca="false">F39/G39</f>
        <v>0.256012527705627</v>
      </c>
    </row>
    <row r="40" customFormat="false" ht="11.25" hidden="false" customHeight="false" outlineLevel="0" collapsed="false">
      <c r="A40" s="104" t="s">
        <v>88</v>
      </c>
      <c r="B40" s="38" t="n">
        <f aca="false">SUM(B37:B39)</f>
        <v>3788967</v>
      </c>
      <c r="C40" s="170" t="n">
        <f aca="false">SUM(C37:C39)</f>
        <v>1</v>
      </c>
      <c r="D40" s="38" t="n">
        <f aca="false">SUM(D37:D39)</f>
        <v>14713813280</v>
      </c>
      <c r="E40" s="38" t="n">
        <f aca="false">SUM(E37:E39)</f>
        <v>7069513412</v>
      </c>
      <c r="F40" s="38" t="n">
        <f aca="false">SUM(F37:F39)</f>
        <v>4630385545</v>
      </c>
      <c r="G40" s="93" t="n">
        <f aca="false">SUM(G37:G39)</f>
        <v>26413712237</v>
      </c>
      <c r="H40" s="43"/>
      <c r="J40" s="154" t="n">
        <f aca="false">F40/G40</f>
        <v>0.175302339309725</v>
      </c>
    </row>
    <row r="41" customFormat="false" ht="11.25" hidden="false" customHeight="false" outlineLevel="0" collapsed="false">
      <c r="J41" s="154"/>
    </row>
    <row r="42" customFormat="false" ht="11.25" hidden="false" customHeight="false" outlineLevel="0" collapsed="false">
      <c r="F42" s="43"/>
      <c r="G42" s="43"/>
    </row>
    <row r="43" customFormat="false" ht="11.25" hidden="false" customHeight="false" outlineLevel="0" collapsed="false">
      <c r="A43" s="8" t="s">
        <v>100</v>
      </c>
      <c r="B43" s="161" t="s">
        <v>83</v>
      </c>
      <c r="C43" s="137" t="s">
        <v>7</v>
      </c>
      <c r="D43" s="10" t="s">
        <v>101</v>
      </c>
      <c r="E43" s="10" t="s">
        <v>55</v>
      </c>
      <c r="F43" s="10" t="s">
        <v>97</v>
      </c>
      <c r="G43" s="47"/>
    </row>
    <row r="44" customFormat="false" ht="11.25" hidden="false" customHeight="false" outlineLevel="0" collapsed="false">
      <c r="A44" s="162" t="s">
        <v>13</v>
      </c>
      <c r="B44" s="163" t="s">
        <v>14</v>
      </c>
      <c r="C44" s="163" t="s">
        <v>15</v>
      </c>
      <c r="D44" s="18" t="s">
        <v>58</v>
      </c>
      <c r="E44" s="18" t="s">
        <v>59</v>
      </c>
      <c r="F44" s="18" t="s">
        <v>60</v>
      </c>
      <c r="G44" s="19" t="s">
        <v>63</v>
      </c>
    </row>
    <row r="45" customFormat="false" ht="11.25" hidden="false" customHeight="false" outlineLevel="0" collapsed="false">
      <c r="A45" s="162"/>
      <c r="B45" s="165"/>
      <c r="C45" s="165"/>
      <c r="D45" s="165"/>
      <c r="E45" s="165"/>
      <c r="F45" s="165"/>
      <c r="G45" s="48"/>
    </row>
    <row r="46" customFormat="false" ht="11.25" hidden="false" customHeight="false" outlineLevel="0" collapsed="false">
      <c r="A46" s="166" t="s">
        <v>102</v>
      </c>
      <c r="B46" s="167" t="n">
        <f aca="false">'130%-200%'!B24</f>
        <v>1114922</v>
      </c>
      <c r="C46" s="154" t="n">
        <f aca="false">B46/B$32</f>
        <v>0.294254872106302</v>
      </c>
      <c r="D46" s="167" t="n">
        <f aca="false">'130%-200%'!C24</f>
        <v>3254925249</v>
      </c>
      <c r="E46" s="167" t="n">
        <v>0</v>
      </c>
      <c r="F46" s="167" t="n">
        <f aca="false">'130%Baseline'!E40</f>
        <v>0</v>
      </c>
      <c r="G46" s="91" t="n">
        <f aca="false">SUM(D46:F46)</f>
        <v>3254925249</v>
      </c>
    </row>
    <row r="47" customFormat="false" ht="11.25" hidden="false" customHeight="false" outlineLevel="0" collapsed="false">
      <c r="A47" s="12" t="s">
        <v>22</v>
      </c>
      <c r="B47" s="167" t="n">
        <f aca="false">'130%-200%'!B40</f>
        <v>943787</v>
      </c>
      <c r="C47" s="154" t="n">
        <f aca="false">B47/B$32</f>
        <v>0.249088207946915</v>
      </c>
      <c r="D47" s="167" t="n">
        <f aca="false">'130%-200%'!C40</f>
        <v>4651632690</v>
      </c>
      <c r="E47" s="167" t="n">
        <f aca="false">'130%-200%'!D40</f>
        <v>405067488</v>
      </c>
      <c r="F47" s="167" t="n">
        <v>0</v>
      </c>
      <c r="G47" s="91" t="n">
        <f aca="false">SUM(D47:F47)</f>
        <v>5056700178</v>
      </c>
    </row>
    <row r="48" customFormat="false" ht="11.25" hidden="false" customHeight="false" outlineLevel="0" collapsed="false">
      <c r="A48" s="16" t="s">
        <v>23</v>
      </c>
      <c r="B48" s="168" t="n">
        <f aca="false">'130%-200%'!B59</f>
        <v>1723254</v>
      </c>
      <c r="C48" s="155" t="n">
        <f aca="false">B48/B$32</f>
        <v>0.454808395005816</v>
      </c>
      <c r="D48" s="168" t="n">
        <f aca="false">'130%-200%'!C59</f>
        <v>9636610211</v>
      </c>
      <c r="E48" s="168" t="n">
        <f aca="false">'130%-200%'!D59</f>
        <v>3819562689</v>
      </c>
      <c r="F48" s="168" t="n">
        <f aca="false">'130%-200%'!E59</f>
        <v>4630385545</v>
      </c>
      <c r="G48" s="92" t="n">
        <f aca="false">SUM(D48:F48)</f>
        <v>18086558445</v>
      </c>
    </row>
    <row r="49" customFormat="false" ht="11.25" hidden="false" customHeight="false" outlineLevel="0" collapsed="false">
      <c r="A49" s="104" t="s">
        <v>88</v>
      </c>
      <c r="B49" s="38" t="n">
        <f aca="false">SUM(B46:B48)</f>
        <v>3781963</v>
      </c>
      <c r="C49" s="170" t="n">
        <f aca="false">SUM(C46:C48)</f>
        <v>0.998151475059033</v>
      </c>
      <c r="D49" s="38" t="n">
        <f aca="false">SUM(D46:D48)</f>
        <v>17543168150</v>
      </c>
      <c r="E49" s="38" t="n">
        <f aca="false">SUM(E46:E48)</f>
        <v>4224630177</v>
      </c>
      <c r="F49" s="38" t="n">
        <f aca="false">SUM(F46:F48)</f>
        <v>4630385545</v>
      </c>
      <c r="G49" s="93" t="n">
        <f aca="false">SUM(G46:G48)</f>
        <v>26398183872</v>
      </c>
    </row>
    <row r="50" customFormat="false" ht="11.25" hidden="false" customHeight="false" outlineLevel="0" collapsed="false">
      <c r="A50" s="165"/>
      <c r="B50" s="22"/>
      <c r="C50" s="171"/>
      <c r="D50" s="22"/>
      <c r="E50" s="22"/>
      <c r="F50" s="22"/>
      <c r="G50" s="22"/>
    </row>
    <row r="51" customFormat="false" ht="11.25" hidden="false" customHeight="false" outlineLevel="0" collapsed="false">
      <c r="A51" s="165"/>
      <c r="B51" s="43"/>
      <c r="C51" s="172"/>
      <c r="D51" s="43"/>
      <c r="E51" s="43"/>
      <c r="F51" s="43"/>
      <c r="G51" s="43"/>
    </row>
    <row r="52" customFormat="false" ht="11.25" hidden="false" customHeight="false" outlineLevel="0" collapsed="false">
      <c r="A52" s="8" t="s">
        <v>91</v>
      </c>
      <c r="B52" s="161" t="s">
        <v>86</v>
      </c>
      <c r="C52" s="137" t="s">
        <v>7</v>
      </c>
      <c r="D52" s="10" t="s">
        <v>53</v>
      </c>
      <c r="E52" s="10" t="s">
        <v>54</v>
      </c>
      <c r="F52" s="10" t="s">
        <v>92</v>
      </c>
      <c r="G52" s="47"/>
      <c r="I52" s="154"/>
      <c r="J52" s="154"/>
    </row>
    <row r="53" customFormat="false" ht="11.25" hidden="false" customHeight="false" outlineLevel="0" collapsed="false">
      <c r="A53" s="162" t="s">
        <v>13</v>
      </c>
      <c r="B53" s="163" t="s">
        <v>14</v>
      </c>
      <c r="C53" s="163" t="s">
        <v>15</v>
      </c>
      <c r="D53" s="18" t="s">
        <v>58</v>
      </c>
      <c r="E53" s="18" t="s">
        <v>59</v>
      </c>
      <c r="F53" s="18" t="s">
        <v>60</v>
      </c>
      <c r="G53" s="19" t="s">
        <v>63</v>
      </c>
      <c r="H53" s="164"/>
      <c r="J53" s="154"/>
    </row>
    <row r="54" customFormat="false" ht="11.25" hidden="false" customHeight="false" outlineLevel="0" collapsed="false">
      <c r="A54" s="166" t="s">
        <v>98</v>
      </c>
      <c r="B54" s="167" t="n">
        <f aca="false">'CARE130%'!B24</f>
        <v>78220</v>
      </c>
      <c r="C54" s="154" t="n">
        <f aca="false">B54/B$57</f>
        <v>0.274187724999036</v>
      </c>
      <c r="D54" s="167" t="n">
        <f aca="false">'CARE130%'!C24</f>
        <v>252973794</v>
      </c>
      <c r="E54" s="167" t="n">
        <f aca="false">'CARE130%'!D24</f>
        <v>0</v>
      </c>
      <c r="F54" s="167" t="n">
        <f aca="false">'CARE130%'!E24</f>
        <v>0</v>
      </c>
      <c r="G54" s="91" t="n">
        <f aca="false">SUM(D54:F54)</f>
        <v>252973794</v>
      </c>
      <c r="H54" s="43"/>
      <c r="J54" s="154" t="n">
        <f aca="false">F54/G54</f>
        <v>0</v>
      </c>
    </row>
    <row r="55" customFormat="false" ht="11.25" hidden="false" customHeight="false" outlineLevel="0" collapsed="false">
      <c r="A55" s="166" t="s">
        <v>21</v>
      </c>
      <c r="B55" s="167" t="n">
        <f aca="false">'CARE130%'!B40</f>
        <v>44069</v>
      </c>
      <c r="C55" s="154" t="n">
        <f aca="false">B55/B$57</f>
        <v>0.15447684547408</v>
      </c>
      <c r="D55" s="167" t="n">
        <f aca="false">'CARE130%'!C40</f>
        <v>267026786</v>
      </c>
      <c r="E55" s="167" t="n">
        <f aca="false">'CARE130%'!D40</f>
        <v>12183365</v>
      </c>
      <c r="F55" s="167" t="n">
        <f aca="false">'CARE130%'!E40</f>
        <v>0</v>
      </c>
      <c r="G55" s="91" t="n">
        <f aca="false">SUM(D55:F55)</f>
        <v>279210151</v>
      </c>
      <c r="H55" s="43"/>
      <c r="J55" s="154"/>
    </row>
    <row r="56" customFormat="false" ht="11.25" hidden="false" customHeight="false" outlineLevel="0" collapsed="false">
      <c r="A56" s="162" t="s">
        <v>95</v>
      </c>
      <c r="B56" s="168" t="n">
        <f aca="false">'CARE130%'!B59</f>
        <v>162990</v>
      </c>
      <c r="C56" s="155" t="n">
        <f aca="false">B56/B$57</f>
        <v>0.571335429526884</v>
      </c>
      <c r="D56" s="168" t="n">
        <f aca="false">'CARE130%'!C59</f>
        <v>887694151</v>
      </c>
      <c r="E56" s="168" t="n">
        <f aca="false">'CARE130%'!D59</f>
        <v>187513132</v>
      </c>
      <c r="F56" s="168" t="n">
        <f aca="false">'CARE130%'!E59</f>
        <v>339000915</v>
      </c>
      <c r="G56" s="92" t="n">
        <f aca="false">SUM(D56:F56)</f>
        <v>1414208198</v>
      </c>
      <c r="H56" s="169"/>
      <c r="J56" s="154" t="n">
        <f aca="false">F56/G56</f>
        <v>0.239710755092087</v>
      </c>
    </row>
    <row r="57" customFormat="false" ht="11.25" hidden="false" customHeight="false" outlineLevel="0" collapsed="false">
      <c r="A57" s="104" t="s">
        <v>88</v>
      </c>
      <c r="B57" s="38" t="n">
        <f aca="false">SUM(B54:B56)</f>
        <v>285279</v>
      </c>
      <c r="C57" s="170" t="n">
        <f aca="false">SUM(C54:C56)</f>
        <v>1</v>
      </c>
      <c r="D57" s="38" t="n">
        <f aca="false">SUM(D54:D56)</f>
        <v>1407694731</v>
      </c>
      <c r="E57" s="38" t="n">
        <f aca="false">SUM(E54:E56)</f>
        <v>199696497</v>
      </c>
      <c r="F57" s="38" t="n">
        <f aca="false">SUM(F54:F56)</f>
        <v>339000915</v>
      </c>
      <c r="G57" s="93" t="n">
        <f aca="false">SUM(G54:G56)</f>
        <v>1946392143</v>
      </c>
      <c r="H57" s="43"/>
      <c r="J57" s="154" t="n">
        <f aca="false">F57/G57</f>
        <v>0.174168867367854</v>
      </c>
    </row>
    <row r="58" customFormat="false" ht="11.25" hidden="false" customHeight="false" outlineLevel="0" collapsed="false">
      <c r="B58" s="43"/>
      <c r="J58" s="154"/>
    </row>
    <row r="59" customFormat="false" ht="11.25" hidden="false" customHeight="false" outlineLevel="0" collapsed="false">
      <c r="J59" s="154"/>
    </row>
    <row r="60" customFormat="false" ht="11.25" hidden="false" customHeight="false" outlineLevel="0" collapsed="false">
      <c r="A60" s="8" t="s">
        <v>96</v>
      </c>
      <c r="B60" s="161" t="s">
        <v>86</v>
      </c>
      <c r="C60" s="137"/>
      <c r="D60" s="10" t="s">
        <v>53</v>
      </c>
      <c r="E60" s="10" t="s">
        <v>65</v>
      </c>
      <c r="F60" s="10" t="s">
        <v>97</v>
      </c>
      <c r="G60" s="47"/>
      <c r="J60" s="154"/>
    </row>
    <row r="61" customFormat="false" ht="11.25" hidden="false" customHeight="false" outlineLevel="0" collapsed="false">
      <c r="A61" s="162" t="s">
        <v>13</v>
      </c>
      <c r="B61" s="163" t="s">
        <v>14</v>
      </c>
      <c r="C61" s="165"/>
      <c r="D61" s="18" t="s">
        <v>58</v>
      </c>
      <c r="E61" s="18" t="s">
        <v>59</v>
      </c>
      <c r="F61" s="18" t="s">
        <v>60</v>
      </c>
      <c r="G61" s="19" t="s">
        <v>63</v>
      </c>
      <c r="H61" s="164"/>
      <c r="J61" s="154"/>
    </row>
    <row r="62" customFormat="false" ht="11.25" hidden="false" customHeight="false" outlineLevel="0" collapsed="false">
      <c r="A62" s="166" t="s">
        <v>98</v>
      </c>
      <c r="B62" s="22" t="n">
        <v>78220</v>
      </c>
      <c r="C62" s="154" t="n">
        <f aca="false">B62/B$65</f>
        <v>0.274187724999036</v>
      </c>
      <c r="D62" s="22" t="n">
        <v>252973794</v>
      </c>
      <c r="E62" s="22" t="n">
        <v>0</v>
      </c>
      <c r="F62" s="22" t="n">
        <v>0</v>
      </c>
      <c r="G62" s="91" t="n">
        <f aca="false">SUM(D62:F62)</f>
        <v>252973794</v>
      </c>
      <c r="H62" s="43"/>
      <c r="J62" s="154" t="n">
        <f aca="false">F62/G62</f>
        <v>0</v>
      </c>
    </row>
    <row r="63" customFormat="false" ht="11.25" hidden="false" customHeight="false" outlineLevel="0" collapsed="false">
      <c r="A63" s="166" t="s">
        <v>99</v>
      </c>
      <c r="B63" s="22" t="n">
        <v>121504</v>
      </c>
      <c r="C63" s="154" t="n">
        <f aca="false">B63/B$65</f>
        <v>0.425912878270044</v>
      </c>
      <c r="D63" s="22" t="n">
        <v>732015874</v>
      </c>
      <c r="E63" s="22" t="n">
        <v>134575515</v>
      </c>
      <c r="F63" s="22" t="n">
        <v>0</v>
      </c>
      <c r="G63" s="91" t="n">
        <f aca="false">SUM(D63:F63)</f>
        <v>866591389</v>
      </c>
      <c r="H63" s="43"/>
      <c r="J63" s="154" t="n">
        <f aca="false">F63/G63</f>
        <v>0</v>
      </c>
    </row>
    <row r="64" customFormat="false" ht="11.25" hidden="false" customHeight="false" outlineLevel="0" collapsed="false">
      <c r="A64" s="162" t="s">
        <v>23</v>
      </c>
      <c r="B64" s="30" t="n">
        <v>85555</v>
      </c>
      <c r="C64" s="155" t="n">
        <f aca="false">B64/B$65</f>
        <v>0.29989939673092</v>
      </c>
      <c r="D64" s="30" t="n">
        <v>422705063</v>
      </c>
      <c r="E64" s="30" t="n">
        <v>277804099</v>
      </c>
      <c r="F64" s="30" t="n">
        <v>126317798</v>
      </c>
      <c r="G64" s="92" t="n">
        <f aca="false">SUM(D64:F64)</f>
        <v>826826960</v>
      </c>
      <c r="H64" s="43"/>
      <c r="J64" s="154" t="n">
        <f aca="false">F64/G64</f>
        <v>0.152774164499909</v>
      </c>
    </row>
    <row r="65" customFormat="false" ht="11.25" hidden="false" customHeight="false" outlineLevel="0" collapsed="false">
      <c r="A65" s="104" t="s">
        <v>88</v>
      </c>
      <c r="B65" s="38" t="n">
        <f aca="false">SUM(B62:B64)</f>
        <v>285279</v>
      </c>
      <c r="C65" s="170" t="n">
        <f aca="false">SUM(C62:C64)</f>
        <v>1</v>
      </c>
      <c r="D65" s="38" t="n">
        <f aca="false">SUM(D62:D64)</f>
        <v>1407694731</v>
      </c>
      <c r="E65" s="38" t="n">
        <f aca="false">SUM(E62:E64)</f>
        <v>412379614</v>
      </c>
      <c r="F65" s="38" t="n">
        <f aca="false">SUM(F62:F64)</f>
        <v>126317798</v>
      </c>
      <c r="G65" s="93" t="n">
        <f aca="false">SUM(G62:G64)</f>
        <v>1946392143</v>
      </c>
      <c r="H65" s="43"/>
      <c r="J65" s="154" t="n">
        <f aca="false">F65/G65</f>
        <v>0.0648984319291922</v>
      </c>
    </row>
  </sheetData>
  <mergeCells count="4">
    <mergeCell ref="A2:I2"/>
    <mergeCell ref="A3:I3"/>
    <mergeCell ref="A14:I14"/>
    <mergeCell ref="A15:I15"/>
  </mergeCells>
  <printOptions headings="tru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&amp;CPacific Gas and Electric Company
Rate Design Workpapers
3 Cent Surcharge</oddHeader>
    <oddFooter>&amp;L&amp;D &amp;T&amp;R&amp;F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T4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J14" activeCellId="0" sqref="J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" width="8.14"/>
    <col collapsed="false" customWidth="true" hidden="false" outlineLevel="0" max="2" min="2" style="5" width="9.14"/>
    <col collapsed="false" customWidth="true" hidden="false" outlineLevel="0" max="3" min="3" style="0" width="12.56"/>
    <col collapsed="false" customWidth="true" hidden="false" outlineLevel="0" max="4" min="4" style="27" width="12.99"/>
    <col collapsed="false" customWidth="true" hidden="false" outlineLevel="0" max="7" min="5" style="27" width="12.85"/>
    <col collapsed="false" customWidth="true" hidden="false" outlineLevel="0" max="8" min="8" style="27" width="13.28"/>
    <col collapsed="false" customWidth="true" hidden="false" outlineLevel="0" max="9" min="9" style="0" width="8.99"/>
    <col collapsed="false" customWidth="true" hidden="false" outlineLevel="0" max="10" min="10" style="0" width="12.7"/>
    <col collapsed="false" customWidth="true" hidden="false" outlineLevel="0" max="11" min="11" style="0" width="11.42"/>
    <col collapsed="false" customWidth="true" hidden="false" outlineLevel="0" max="12" min="12" style="0" width="6.7"/>
    <col collapsed="false" customWidth="true" hidden="false" outlineLevel="0" max="13" min="13" style="0" width="8.99"/>
    <col collapsed="false" customWidth="true" hidden="false" outlineLevel="0" max="14" min="14" style="0" width="7.14"/>
    <col collapsed="false" customWidth="true" hidden="false" outlineLevel="0" max="16" min="15" style="0" width="11.99"/>
    <col collapsed="false" customWidth="true" hidden="false" outlineLevel="0" max="17" min="17" style="0" width="3.99"/>
    <col collapsed="false" customWidth="true" hidden="false" outlineLevel="0" max="18" min="18" style="0" width="7.7"/>
    <col collapsed="false" customWidth="true" hidden="false" outlineLevel="0" max="19" min="19" style="0" width="4.14"/>
  </cols>
  <sheetData>
    <row r="2" customFormat="false" ht="14.25" hidden="false" customHeight="false" outlineLevel="0" collapsed="false">
      <c r="A2" s="173" t="s">
        <v>103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4"/>
      <c r="P2" s="174"/>
      <c r="Q2" s="174"/>
      <c r="R2" s="174"/>
      <c r="S2" s="174"/>
    </row>
    <row r="3" customFormat="false" ht="13.5" hidden="false" customHeight="true" outlineLevel="0" collapsed="false">
      <c r="A3" s="6" t="s">
        <v>89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5"/>
      <c r="P3" s="5"/>
      <c r="Q3" s="5"/>
      <c r="R3" s="5"/>
      <c r="S3" s="5"/>
    </row>
    <row r="5" customFormat="false" ht="12.75" hidden="false" customHeight="false" outlineLevel="0" collapsed="false">
      <c r="A5" s="175" t="s">
        <v>104</v>
      </c>
      <c r="B5" s="137"/>
      <c r="C5" s="176" t="s">
        <v>105</v>
      </c>
      <c r="D5" s="177" t="s">
        <v>106</v>
      </c>
      <c r="E5" s="177" t="s">
        <v>107</v>
      </c>
      <c r="F5" s="176" t="s">
        <v>108</v>
      </c>
      <c r="G5" s="178" t="s">
        <v>37</v>
      </c>
      <c r="H5" s="179"/>
      <c r="I5" s="10" t="s">
        <v>7</v>
      </c>
      <c r="J5" s="180" t="s">
        <v>37</v>
      </c>
      <c r="K5" s="181"/>
      <c r="L5" s="176" t="s">
        <v>7</v>
      </c>
      <c r="M5" s="10" t="s">
        <v>88</v>
      </c>
      <c r="N5" s="11" t="s">
        <v>7</v>
      </c>
    </row>
    <row r="6" customFormat="false" ht="15" hidden="false" customHeight="false" outlineLevel="0" collapsed="false">
      <c r="A6" s="182" t="s">
        <v>109</v>
      </c>
      <c r="B6" s="183" t="s">
        <v>110</v>
      </c>
      <c r="C6" s="184" t="s">
        <v>111</v>
      </c>
      <c r="D6" s="184" t="s">
        <v>112</v>
      </c>
      <c r="E6" s="184" t="s">
        <v>113</v>
      </c>
      <c r="F6" s="184" t="s">
        <v>114</v>
      </c>
      <c r="G6" s="185" t="s">
        <v>115</v>
      </c>
      <c r="H6" s="185" t="s">
        <v>116</v>
      </c>
      <c r="I6" s="140" t="s">
        <v>6</v>
      </c>
      <c r="J6" s="145" t="s">
        <v>115</v>
      </c>
      <c r="K6" s="145" t="s">
        <v>116</v>
      </c>
      <c r="L6" s="29" t="s">
        <v>42</v>
      </c>
      <c r="M6" s="18" t="s">
        <v>14</v>
      </c>
      <c r="N6" s="19" t="s">
        <v>15</v>
      </c>
    </row>
    <row r="7" customFormat="false" ht="12.75" hidden="false" customHeight="false" outlineLevel="0" collapsed="false">
      <c r="A7" s="13"/>
      <c r="B7" s="22"/>
      <c r="C7" s="186"/>
      <c r="I7" s="186"/>
      <c r="J7" s="186"/>
      <c r="K7" s="186"/>
      <c r="L7" s="186"/>
      <c r="M7" s="186"/>
      <c r="N7" s="187"/>
    </row>
    <row r="8" customFormat="false" ht="11.25" hidden="false" customHeight="false" outlineLevel="0" collapsed="false">
      <c r="A8" s="13" t="n">
        <v>1</v>
      </c>
      <c r="B8" s="27" t="n">
        <v>233028</v>
      </c>
      <c r="C8" s="129" t="n">
        <f aca="false">C26*Prices!E$6</f>
        <v>113769374.6189</v>
      </c>
      <c r="D8" s="129" t="n">
        <f aca="false">D26*Prices!E$7</f>
        <v>28631619.569938</v>
      </c>
      <c r="E8" s="129" t="n">
        <f aca="false">E26*Prices!E$8</f>
        <v>46226288.257434</v>
      </c>
      <c r="F8" s="129" t="n">
        <f aca="false">F26*Prices!E$9</f>
        <v>8397626.38455765</v>
      </c>
      <c r="G8" s="129" t="n">
        <f aca="false">SUM(C8:F8)</f>
        <v>197024908.83083</v>
      </c>
      <c r="H8" s="129" t="n">
        <f aca="false">C26*Prices!E$6+(G26-C26)*Prices!E$7</f>
        <v>176985477.155597</v>
      </c>
      <c r="I8" s="154" t="n">
        <f aca="false">(G8-H8)/H8</f>
        <v>0.113226418332703</v>
      </c>
      <c r="J8" s="165"/>
      <c r="K8" s="165"/>
      <c r="L8" s="165"/>
      <c r="M8" s="165"/>
      <c r="N8" s="48"/>
      <c r="O8" s="5"/>
      <c r="P8" s="5"/>
      <c r="Q8" s="5"/>
      <c r="R8" s="5"/>
      <c r="S8" s="5"/>
    </row>
    <row r="9" customFormat="false" ht="11.25" hidden="false" customHeight="false" outlineLevel="0" collapsed="false">
      <c r="A9" s="13" t="n">
        <v>2</v>
      </c>
      <c r="B9" s="27" t="n">
        <v>168234</v>
      </c>
      <c r="C9" s="129" t="n">
        <f aca="false">C27*Prices!E$6</f>
        <v>85393934.539903</v>
      </c>
      <c r="D9" s="129" t="n">
        <f aca="false">D27*Prices!E$7</f>
        <v>23176195.193753</v>
      </c>
      <c r="E9" s="129" t="n">
        <f aca="false">E27*Prices!E$8</f>
        <v>44649097.379349</v>
      </c>
      <c r="F9" s="129" t="n">
        <f aca="false">F27*Prices!E$9</f>
        <v>13620079.7678428</v>
      </c>
      <c r="G9" s="129" t="n">
        <f aca="false">SUM(C9:F9)</f>
        <v>166839306.880848</v>
      </c>
      <c r="H9" s="129" t="n">
        <f aca="false">C27*Prices!E$6+(G27-C27)*Prices!E$7</f>
        <v>144451566.574981</v>
      </c>
      <c r="I9" s="154" t="n">
        <f aca="false">(G9-H9)/H9</f>
        <v>0.154984406446336</v>
      </c>
      <c r="J9" s="165"/>
      <c r="K9" s="165"/>
      <c r="L9" s="165"/>
      <c r="M9" s="165"/>
      <c r="N9" s="48"/>
      <c r="O9" s="5"/>
      <c r="P9" s="5"/>
      <c r="Q9" s="5"/>
      <c r="R9" s="5"/>
      <c r="S9" s="5"/>
    </row>
    <row r="10" customFormat="false" ht="11.25" hidden="false" customHeight="false" outlineLevel="0" collapsed="false">
      <c r="A10" s="13" t="n">
        <v>3</v>
      </c>
      <c r="B10" s="27" t="n">
        <v>145948</v>
      </c>
      <c r="C10" s="129" t="n">
        <f aca="false">C28*Prices!E$6</f>
        <v>75936528.295265</v>
      </c>
      <c r="D10" s="129" t="n">
        <f aca="false">D28*Prices!E$7</f>
        <v>21793686.292445</v>
      </c>
      <c r="E10" s="129" t="n">
        <f aca="false">E28*Prices!E$8</f>
        <v>46857380.350791</v>
      </c>
      <c r="F10" s="129" t="n">
        <f aca="false">F28*Prices!E$9</f>
        <v>22058475.5795859</v>
      </c>
      <c r="G10" s="129" t="n">
        <f aca="false">SUM(C10:F10)</f>
        <v>166646070.518087</v>
      </c>
      <c r="H10" s="129" t="n">
        <f aca="false">C28*Prices!E$6+(G28-C28)*Prices!E$7</f>
        <v>138877485.144816</v>
      </c>
      <c r="I10" s="154" t="n">
        <f aca="false">(G10-H10)/H10</f>
        <v>0.199950231992716</v>
      </c>
      <c r="J10" s="165"/>
      <c r="K10" s="165"/>
      <c r="L10" s="165"/>
      <c r="M10" s="165"/>
      <c r="N10" s="48"/>
      <c r="O10" s="5"/>
      <c r="P10" s="5"/>
      <c r="Q10" s="5"/>
      <c r="R10" s="5"/>
      <c r="S10" s="5"/>
    </row>
    <row r="11" customFormat="false" ht="11.25" hidden="false" customHeight="false" outlineLevel="0" collapsed="false">
      <c r="A11" s="13" t="n">
        <v>4</v>
      </c>
      <c r="B11" s="27" t="n">
        <v>135662</v>
      </c>
      <c r="C11" s="129" t="n">
        <f aca="false">C29*Prices!E$6</f>
        <v>71071413.1017</v>
      </c>
      <c r="D11" s="129" t="n">
        <f aca="false">D29*Prices!E$7</f>
        <v>21474866.727939</v>
      </c>
      <c r="E11" s="129" t="n">
        <f aca="false">E29*Prices!E$8</f>
        <v>50319327.351645</v>
      </c>
      <c r="F11" s="129" t="n">
        <f aca="false">F29*Prices!E$9</f>
        <v>33349855.3897775</v>
      </c>
      <c r="G11" s="129" t="n">
        <f aca="false">SUM(C11:F11)</f>
        <v>176215462.571062</v>
      </c>
      <c r="H11" s="129" t="n">
        <f aca="false">C29*Prices!E$6+(G29-C29)*Prices!E$7</f>
        <v>141077678.33947</v>
      </c>
      <c r="I11" s="154" t="n">
        <f aca="false">(G11-H11)/H11</f>
        <v>0.249066929972017</v>
      </c>
      <c r="J11" s="165"/>
      <c r="K11" s="165"/>
      <c r="L11" s="165"/>
      <c r="M11" s="165"/>
      <c r="N11" s="48"/>
      <c r="O11" s="5"/>
      <c r="P11" s="5"/>
      <c r="Q11" s="5"/>
      <c r="R11" s="5"/>
      <c r="S11" s="5"/>
    </row>
    <row r="12" customFormat="false" ht="11.25" hidden="false" customHeight="false" outlineLevel="0" collapsed="false">
      <c r="A12" s="13" t="n">
        <v>5</v>
      </c>
      <c r="B12" s="27" t="n">
        <v>116748</v>
      </c>
      <c r="C12" s="129" t="n">
        <f aca="false">C30*Prices!E$6</f>
        <v>63120219.371759</v>
      </c>
      <c r="D12" s="129" t="n">
        <f aca="false">D30*Prices!E$7</f>
        <v>19828919.814389</v>
      </c>
      <c r="E12" s="129" t="n">
        <f aca="false">E30*Prices!E$8</f>
        <v>49607348.332839</v>
      </c>
      <c r="F12" s="129" t="n">
        <f aca="false">F30*Prices!E$9</f>
        <v>40278477.2054596</v>
      </c>
      <c r="G12" s="129" t="n">
        <f aca="false">SUM(C12:F12)</f>
        <v>172834964.724447</v>
      </c>
      <c r="H12" s="129" t="n">
        <f aca="false">C30*Prices!E$6+(G30-C30)*Prices!E$7</f>
        <v>134121261.207492</v>
      </c>
      <c r="I12" s="154" t="n">
        <f aca="false">(G12-H12)/H12</f>
        <v>0.288647028580074</v>
      </c>
      <c r="J12" s="15" t="s">
        <v>117</v>
      </c>
      <c r="K12" s="15"/>
      <c r="L12" s="15"/>
      <c r="M12" s="15"/>
      <c r="N12" s="15"/>
      <c r="O12" s="5"/>
      <c r="P12" s="5"/>
      <c r="Q12" s="5"/>
      <c r="R12" s="5"/>
      <c r="S12" s="5"/>
    </row>
    <row r="13" customFormat="false" ht="11.25" hidden="false" customHeight="false" outlineLevel="0" collapsed="false">
      <c r="A13" s="13" t="n">
        <v>6</v>
      </c>
      <c r="B13" s="27" t="n">
        <v>95884</v>
      </c>
      <c r="C13" s="129" t="n">
        <f aca="false">C31*Prices!E$6</f>
        <v>52178425.588267</v>
      </c>
      <c r="D13" s="129" t="n">
        <f aca="false">D31*Prices!E$7</f>
        <v>17024379.77652</v>
      </c>
      <c r="E13" s="129" t="n">
        <f aca="false">E31*Prices!E$8</f>
        <v>45828652.917621</v>
      </c>
      <c r="F13" s="129" t="n">
        <f aca="false">F31*Prices!E$9</f>
        <v>40975460.9049672</v>
      </c>
      <c r="G13" s="129" t="n">
        <f aca="false">SUM(C13:F13)</f>
        <v>156006919.187375</v>
      </c>
      <c r="H13" s="129" t="n">
        <f aca="false">C31*Prices!E$6+(G31-C31)*Prices!E$7</f>
        <v>118169891.716319</v>
      </c>
      <c r="I13" s="154" t="n">
        <f aca="false">(G13-H13)/H13</f>
        <v>0.32019177576881</v>
      </c>
      <c r="J13" s="144" t="n">
        <f aca="false">SUM(G8:G13)</f>
        <v>1035567632.71265</v>
      </c>
      <c r="K13" s="144" t="n">
        <f aca="false">SUM(H8:H13)</f>
        <v>853683360.138675</v>
      </c>
      <c r="L13" s="188" t="n">
        <f aca="false">(J13-K13)/K13</f>
        <v>0.213058238061975</v>
      </c>
      <c r="M13" s="189" t="n">
        <f aca="false">SUM(B8:B13)</f>
        <v>895504</v>
      </c>
      <c r="N13" s="190" t="n">
        <f aca="false">M13/M20</f>
        <v>0.519658738642127</v>
      </c>
      <c r="O13" s="5"/>
      <c r="P13" s="5"/>
      <c r="Q13" s="5"/>
      <c r="R13" s="5"/>
      <c r="S13" s="5"/>
    </row>
    <row r="14" customFormat="false" ht="11.25" hidden="false" customHeight="false" outlineLevel="0" collapsed="false">
      <c r="A14" s="13" t="n">
        <v>7</v>
      </c>
      <c r="B14" s="27" t="n">
        <v>76416</v>
      </c>
      <c r="C14" s="129" t="n">
        <f aca="false">C32*Prices!E$6</f>
        <v>39213244.298602</v>
      </c>
      <c r="D14" s="129" t="n">
        <f aca="false">D32*Prices!E$7</f>
        <v>13036361.960156</v>
      </c>
      <c r="E14" s="129" t="n">
        <f aca="false">E32*Prices!E$8</f>
        <v>38742425.148918</v>
      </c>
      <c r="F14" s="129" t="n">
        <f aca="false">F32*Prices!E$9</f>
        <v>37559589.8000461</v>
      </c>
      <c r="G14" s="129" t="n">
        <f aca="false">SUM(C14:F14)</f>
        <v>128551621.207722</v>
      </c>
      <c r="H14" s="129" t="n">
        <f aca="false">C32*Prices!E$6+(G32-C32)*Prices!E$7</f>
        <v>94958045.049225</v>
      </c>
      <c r="I14" s="154" t="n">
        <f aca="false">(G14-H14)/H14</f>
        <v>0.353772828211477</v>
      </c>
      <c r="J14" s="165"/>
      <c r="K14" s="165"/>
      <c r="L14" s="165"/>
      <c r="M14" s="165"/>
      <c r="N14" s="48"/>
      <c r="O14" s="5"/>
      <c r="P14" s="5"/>
      <c r="Q14" s="5"/>
      <c r="R14" s="5"/>
      <c r="S14" s="5"/>
    </row>
    <row r="15" customFormat="false" ht="11.25" hidden="false" customHeight="false" outlineLevel="0" collapsed="false">
      <c r="A15" s="13" t="n">
        <v>8</v>
      </c>
      <c r="B15" s="27" t="n">
        <v>69422</v>
      </c>
      <c r="C15" s="129" t="n">
        <f aca="false">C33*Prices!E$6</f>
        <v>35186984.372639</v>
      </c>
      <c r="D15" s="129" t="n">
        <f aca="false">D33*Prices!E$7</f>
        <v>11786228.783753</v>
      </c>
      <c r="E15" s="129" t="n">
        <f aca="false">E33*Prices!E$8</f>
        <v>36870308.747133</v>
      </c>
      <c r="F15" s="129" t="n">
        <f aca="false">F33*Prices!E$9</f>
        <v>39614950.9213785</v>
      </c>
      <c r="G15" s="129" t="n">
        <f aca="false">SUM(C15:F15)</f>
        <v>123458472.824904</v>
      </c>
      <c r="H15" s="129" t="n">
        <f aca="false">C33*Prices!E$6+(G33-C33)*Prices!E$7</f>
        <v>89358059.481159</v>
      </c>
      <c r="I15" s="154" t="n">
        <f aca="false">(G15-H15)/H15</f>
        <v>0.381615419378423</v>
      </c>
      <c r="J15" s="165"/>
      <c r="K15" s="165"/>
      <c r="L15" s="165"/>
      <c r="M15" s="165"/>
      <c r="N15" s="48"/>
      <c r="O15" s="5"/>
      <c r="P15" s="5"/>
      <c r="Q15" s="5"/>
      <c r="R15" s="5"/>
      <c r="S15" s="5"/>
    </row>
    <row r="16" customFormat="false" ht="11.25" hidden="false" customHeight="false" outlineLevel="0" collapsed="false">
      <c r="A16" s="13" t="n">
        <v>9</v>
      </c>
      <c r="B16" s="27" t="n">
        <v>70688</v>
      </c>
      <c r="C16" s="129" t="n">
        <f aca="false">C34*Prices!E$6</f>
        <v>35693951.941912</v>
      </c>
      <c r="D16" s="129" t="n">
        <f aca="false">D34*Prices!E$7</f>
        <v>12028185.493397</v>
      </c>
      <c r="E16" s="129" t="n">
        <f aca="false">E34*Prices!E$8</f>
        <v>39043322.266467</v>
      </c>
      <c r="F16" s="129" t="n">
        <f aca="false">F34*Prices!E$9</f>
        <v>46925311.1149357</v>
      </c>
      <c r="G16" s="129" t="n">
        <f aca="false">SUM(C16:F16)</f>
        <v>133690770.816712</v>
      </c>
      <c r="H16" s="129" t="n">
        <f aca="false">C34*Prices!E$6+(G34-C34)*Prices!E$7</f>
        <v>94842124.792997</v>
      </c>
      <c r="I16" s="154" t="n">
        <f aca="false">(G16-H16)/H16</f>
        <v>0.409613830441968</v>
      </c>
      <c r="J16" s="165"/>
      <c r="K16" s="165"/>
      <c r="L16" s="165"/>
      <c r="M16" s="165"/>
      <c r="N16" s="48"/>
      <c r="O16" s="5"/>
      <c r="P16" s="5"/>
      <c r="Q16" s="5"/>
      <c r="R16" s="5"/>
      <c r="S16" s="5"/>
    </row>
    <row r="17" customFormat="false" ht="11.25" hidden="false" customHeight="false" outlineLevel="0" collapsed="false">
      <c r="A17" s="13" t="n">
        <v>10</v>
      </c>
      <c r="B17" s="27" t="n">
        <v>79232</v>
      </c>
      <c r="C17" s="129" t="n">
        <f aca="false">C35*Prices!E$6</f>
        <v>39925358.045364</v>
      </c>
      <c r="D17" s="129" t="n">
        <f aca="false">D35*Prices!E$7</f>
        <v>13512013.010265</v>
      </c>
      <c r="E17" s="129" t="n">
        <f aca="false">E35*Prices!E$8</f>
        <v>45206566.255176</v>
      </c>
      <c r="F17" s="129" t="n">
        <f aca="false">F35*Prices!E$9</f>
        <v>63875785.8962276</v>
      </c>
      <c r="G17" s="129" t="n">
        <f aca="false">SUM(C17:F17)</f>
        <v>162519723.207033</v>
      </c>
      <c r="H17" s="129" t="n">
        <f aca="false">C35*Prices!E$6+(G35-C35)*Prices!E$7</f>
        <v>112286275.624155</v>
      </c>
      <c r="I17" s="154" t="n">
        <f aca="false">(G17-H17)/H17</f>
        <v>0.447369434097353</v>
      </c>
      <c r="J17" s="165"/>
      <c r="K17" s="165"/>
      <c r="L17" s="165"/>
      <c r="M17" s="165"/>
      <c r="N17" s="48"/>
      <c r="O17" s="5"/>
      <c r="P17" s="5"/>
      <c r="Q17" s="5"/>
      <c r="R17" s="5"/>
      <c r="S17" s="5"/>
    </row>
    <row r="18" customFormat="false" ht="11.25" hidden="false" customHeight="false" outlineLevel="0" collapsed="false">
      <c r="A18" s="13" t="n">
        <v>11</v>
      </c>
      <c r="B18" s="27" t="n">
        <v>110285</v>
      </c>
      <c r="C18" s="129" t="n">
        <f aca="false">C36*Prices!E$6</f>
        <v>54794213.917454</v>
      </c>
      <c r="D18" s="129" t="n">
        <f aca="false">D36*Prices!E$7</f>
        <v>18606734.074782</v>
      </c>
      <c r="E18" s="129" t="n">
        <f aca="false">E36*Prices!E$8</f>
        <v>63851047.493085</v>
      </c>
      <c r="F18" s="129" t="n">
        <f aca="false">F36*Prices!E$9</f>
        <v>117272420.105261</v>
      </c>
      <c r="G18" s="129" t="n">
        <f aca="false">SUM(C18:F18)</f>
        <v>254524415.590582</v>
      </c>
      <c r="H18" s="129" t="n">
        <f aca="false">C36*Prices!E$6+(G36-C36)*Prices!E$7</f>
        <v>168684116.07977</v>
      </c>
      <c r="I18" s="154" t="n">
        <f aca="false">(G18-H18)/H18</f>
        <v>0.508881935689892</v>
      </c>
      <c r="J18" s="15" t="s">
        <v>118</v>
      </c>
      <c r="K18" s="15"/>
      <c r="L18" s="15"/>
      <c r="M18" s="15"/>
      <c r="N18" s="15"/>
      <c r="O18" s="144" t="n">
        <f aca="false">SUM(G14:G18)</f>
        <v>802745003.646952</v>
      </c>
      <c r="P18" s="144" t="n">
        <f aca="false">SUM(H14:H18)</f>
        <v>560128621.027306</v>
      </c>
      <c r="Q18" s="188" t="n">
        <f aca="false">(O18-P18)/P18</f>
        <v>0.433144055689699</v>
      </c>
      <c r="R18" s="189" t="n">
        <f aca="false">SUM(B14:B18)</f>
        <v>406043</v>
      </c>
      <c r="S18" s="190" t="n">
        <f aca="false">R18/M20</f>
        <v>0.235625740604693</v>
      </c>
      <c r="T18" s="5" t="s">
        <v>119</v>
      </c>
    </row>
    <row r="19" customFormat="false" ht="13.5" hidden="false" customHeight="false" outlineLevel="0" collapsed="false">
      <c r="A19" s="17" t="n">
        <v>12</v>
      </c>
      <c r="B19" s="145" t="n">
        <v>421707</v>
      </c>
      <c r="C19" s="191" t="n">
        <f aca="false">C37*Prices!E$6</f>
        <v>198755464.55974</v>
      </c>
      <c r="D19" s="191" t="n">
        <f aca="false">D37*Prices!E$7</f>
        <v>67780129.229797</v>
      </c>
      <c r="E19" s="191" t="n">
        <f aca="false">E37*Prices!E$8</f>
        <v>237188988.396063</v>
      </c>
      <c r="F19" s="191" t="n">
        <f aca="false">F37*Prices!E$9</f>
        <v>873728857.350447</v>
      </c>
      <c r="G19" s="191" t="n">
        <f aca="false">SUM(C19:F19)</f>
        <v>1377453439.53605</v>
      </c>
      <c r="H19" s="191" t="n">
        <f aca="false">C37*Prices!E$6+(G37-C37)*Prices!E$7</f>
        <v>817461777.578684</v>
      </c>
      <c r="I19" s="155" t="n">
        <f aca="false">(G19-H19)/H19</f>
        <v>0.685037120164877</v>
      </c>
      <c r="J19" s="144" t="n">
        <f aca="false">SUM(G14:G19)</f>
        <v>2180198443.183</v>
      </c>
      <c r="K19" s="144" t="n">
        <f aca="false">SUM(H14:H19)</f>
        <v>1377590398.60599</v>
      </c>
      <c r="L19" s="188" t="n">
        <f aca="false">(J19-K19)/K19</f>
        <v>0.582617333417235</v>
      </c>
      <c r="M19" s="192" t="n">
        <f aca="false">SUM(B14:B19)</f>
        <v>827750</v>
      </c>
      <c r="N19" s="190" t="n">
        <f aca="false">M19/M20</f>
        <v>0.480341261357873</v>
      </c>
      <c r="O19" s="144" t="n">
        <f aca="false">G19</f>
        <v>1377453439.53605</v>
      </c>
      <c r="P19" s="144" t="n">
        <f aca="false">H19</f>
        <v>817461777.578684</v>
      </c>
      <c r="Q19" s="188" t="n">
        <f aca="false">(O19-P19)/P19</f>
        <v>0.685037120164877</v>
      </c>
      <c r="R19" s="192" t="n">
        <f aca="false">B19</f>
        <v>421707</v>
      </c>
      <c r="S19" s="190" t="n">
        <f aca="false">R19/M20</f>
        <v>0.24471552075318</v>
      </c>
      <c r="T19" s="5" t="s">
        <v>120</v>
      </c>
    </row>
    <row r="20" customFormat="false" ht="11.25" hidden="false" customHeight="false" outlineLevel="0" collapsed="false">
      <c r="A20" s="53" t="s">
        <v>121</v>
      </c>
      <c r="B20" s="38" t="n">
        <f aca="false">SUM(B8:B19)</f>
        <v>1723254</v>
      </c>
      <c r="C20" s="125" t="n">
        <f aca="false">SUM(C8:C19)</f>
        <v>865039112.651505</v>
      </c>
      <c r="D20" s="125" t="n">
        <f aca="false">SUM(D8:D19)</f>
        <v>268679319.927134</v>
      </c>
      <c r="E20" s="125" t="n">
        <f aca="false">SUM(E8:E19)</f>
        <v>744390752.896521</v>
      </c>
      <c r="F20" s="125" t="n">
        <f aca="false">SUM(F8:F19)</f>
        <v>1337656890.42049</v>
      </c>
      <c r="G20" s="125" t="n">
        <f aca="false">SUM(G8:G19)</f>
        <v>3215766075.89565</v>
      </c>
      <c r="H20" s="125" t="n">
        <f aca="false">SUM(H8:H19)</f>
        <v>2231273758.74467</v>
      </c>
      <c r="I20" s="156" t="n">
        <f aca="false">(G20-H20)/H20</f>
        <v>0.441224351468582</v>
      </c>
      <c r="J20" s="40" t="n">
        <f aca="false">SUM(J13:J19)</f>
        <v>3215766075.89565</v>
      </c>
      <c r="K20" s="40" t="n">
        <f aca="false">SUM(K13:K19)</f>
        <v>2231273758.74467</v>
      </c>
      <c r="L20" s="193"/>
      <c r="M20" s="194" t="n">
        <f aca="false">SUM(M13:M19)</f>
        <v>1723254</v>
      </c>
      <c r="N20" s="54"/>
      <c r="O20" s="5"/>
      <c r="P20" s="5"/>
      <c r="Q20" s="5"/>
      <c r="R20" s="5"/>
      <c r="S20" s="5"/>
    </row>
    <row r="21" customFormat="false" ht="11.25" hidden="false" customHeight="false" outlineLevel="0" collapsed="false">
      <c r="C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customFormat="false" ht="11.25" hidden="false" customHeight="false" outlineLevel="0" collapsed="false">
      <c r="C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customFormat="false" ht="12.75" hidden="false" customHeight="false" outlineLevel="0" collapsed="false">
      <c r="A23" s="175" t="s">
        <v>104</v>
      </c>
      <c r="B23" s="195"/>
      <c r="C23" s="176" t="s">
        <v>105</v>
      </c>
      <c r="D23" s="177" t="s">
        <v>106</v>
      </c>
      <c r="E23" s="177" t="s">
        <v>107</v>
      </c>
      <c r="F23" s="176" t="s">
        <v>108</v>
      </c>
      <c r="G23" s="196"/>
      <c r="H23" s="176" t="s">
        <v>122</v>
      </c>
      <c r="I23" s="138" t="s">
        <v>123</v>
      </c>
      <c r="O23" s="197" t="s">
        <v>124</v>
      </c>
      <c r="P23" s="180" t="s">
        <v>125</v>
      </c>
    </row>
    <row r="24" customFormat="false" ht="15" hidden="false" customHeight="false" outlineLevel="0" collapsed="false">
      <c r="A24" s="182" t="s">
        <v>109</v>
      </c>
      <c r="B24" s="183" t="s">
        <v>110</v>
      </c>
      <c r="C24" s="184" t="s">
        <v>126</v>
      </c>
      <c r="D24" s="184" t="s">
        <v>127</v>
      </c>
      <c r="E24" s="184" t="s">
        <v>128</v>
      </c>
      <c r="F24" s="184" t="s">
        <v>129</v>
      </c>
      <c r="G24" s="185" t="s">
        <v>63</v>
      </c>
      <c r="H24" s="140" t="s">
        <v>130</v>
      </c>
      <c r="I24" s="141" t="s">
        <v>131</v>
      </c>
      <c r="O24" s="198" t="s">
        <v>126</v>
      </c>
      <c r="P24" s="184" t="s">
        <v>127</v>
      </c>
    </row>
    <row r="25" customFormat="false" ht="12.75" hidden="false" customHeight="false" outlineLevel="0" collapsed="false">
      <c r="A25" s="13"/>
      <c r="B25" s="22"/>
      <c r="C25" s="27"/>
      <c r="I25" s="187"/>
      <c r="O25" s="199"/>
      <c r="P25" s="27"/>
    </row>
    <row r="26" customFormat="false" ht="12.75" hidden="false" customHeight="false" outlineLevel="0" collapsed="false">
      <c r="A26" s="13" t="n">
        <v>1</v>
      </c>
      <c r="B26" s="27" t="n">
        <v>233028</v>
      </c>
      <c r="C26" s="27" t="n">
        <v>995348900</v>
      </c>
      <c r="D26" s="27" t="n">
        <f aca="false">O26-C26</f>
        <v>220431442</v>
      </c>
      <c r="E26" s="27" t="n">
        <v>237192906</v>
      </c>
      <c r="F26" s="27" t="n">
        <v>29068925</v>
      </c>
      <c r="G26" s="27" t="n">
        <f aca="false">SUM(C26:F26)</f>
        <v>1482042173</v>
      </c>
      <c r="H26" s="154" t="n">
        <f aca="false">E26/G26</f>
        <v>0.160044639971254</v>
      </c>
      <c r="I26" s="190" t="n">
        <f aca="false">F26/G26</f>
        <v>0.0196141010894162</v>
      </c>
      <c r="O26" s="199" t="n">
        <v>1215780342</v>
      </c>
      <c r="P26" s="27" t="n">
        <v>457624348</v>
      </c>
    </row>
    <row r="27" customFormat="false" ht="12.75" hidden="false" customHeight="false" outlineLevel="0" collapsed="false">
      <c r="A27" s="13" t="n">
        <v>2</v>
      </c>
      <c r="B27" s="27" t="n">
        <v>168234</v>
      </c>
      <c r="C27" s="27" t="n">
        <v>747097003</v>
      </c>
      <c r="D27" s="27" t="n">
        <f aca="false">O27-C27</f>
        <v>178430777</v>
      </c>
      <c r="E27" s="27" t="n">
        <v>229100141</v>
      </c>
      <c r="F27" s="27" t="n">
        <v>47146784</v>
      </c>
      <c r="G27" s="27" t="n">
        <f aca="false">SUM(C27:F27)</f>
        <v>1201774705</v>
      </c>
      <c r="H27" s="154" t="n">
        <f aca="false">E27/G27</f>
        <v>0.190634850314976</v>
      </c>
      <c r="I27" s="190" t="n">
        <f aca="false">F27/G27</f>
        <v>0.0392309671720042</v>
      </c>
      <c r="O27" s="199" t="n">
        <v>925527780</v>
      </c>
      <c r="P27" s="27" t="n">
        <v>407530918</v>
      </c>
    </row>
    <row r="28" customFormat="false" ht="12.75" hidden="false" customHeight="false" outlineLevel="0" collapsed="false">
      <c r="A28" s="13" t="n">
        <v>3</v>
      </c>
      <c r="B28" s="27" t="n">
        <v>145948</v>
      </c>
      <c r="C28" s="27" t="n">
        <v>664355765</v>
      </c>
      <c r="D28" s="27" t="n">
        <f aca="false">O28-C28</f>
        <v>167787005</v>
      </c>
      <c r="E28" s="27" t="n">
        <v>240431119</v>
      </c>
      <c r="F28" s="27" t="n">
        <v>76356835</v>
      </c>
      <c r="G28" s="27" t="n">
        <f aca="false">SUM(C28:F28)</f>
        <v>1148930724</v>
      </c>
      <c r="H28" s="154" t="n">
        <f aca="false">E28/G28</f>
        <v>0.209265114055737</v>
      </c>
      <c r="I28" s="190" t="n">
        <f aca="false">F28/G28</f>
        <v>0.066459041789886</v>
      </c>
      <c r="O28" s="199" t="n">
        <v>832142770</v>
      </c>
      <c r="P28" s="27" t="n">
        <v>408218124</v>
      </c>
    </row>
    <row r="29" customFormat="false" ht="12.75" hidden="false" customHeight="false" outlineLevel="0" collapsed="false">
      <c r="A29" s="13" t="n">
        <v>4</v>
      </c>
      <c r="B29" s="27" t="n">
        <v>135662</v>
      </c>
      <c r="C29" s="27" t="n">
        <v>621791700</v>
      </c>
      <c r="D29" s="27" t="n">
        <f aca="false">O29-C29</f>
        <v>165332451</v>
      </c>
      <c r="E29" s="27" t="n">
        <v>258194805</v>
      </c>
      <c r="F29" s="27" t="n">
        <v>115442674</v>
      </c>
      <c r="G29" s="27" t="n">
        <f aca="false">SUM(C29:F29)</f>
        <v>1160761630</v>
      </c>
      <c r="H29" s="154" t="n">
        <f aca="false">E29/G29</f>
        <v>0.222435682164994</v>
      </c>
      <c r="I29" s="190" t="n">
        <f aca="false">F29/G29</f>
        <v>0.0994542471222106</v>
      </c>
      <c r="O29" s="199" t="n">
        <v>787124151</v>
      </c>
      <c r="P29" s="27" t="n">
        <v>423527256</v>
      </c>
    </row>
    <row r="30" customFormat="false" ht="12.75" hidden="false" customHeight="false" outlineLevel="0" collapsed="false">
      <c r="A30" s="13" t="n">
        <v>5</v>
      </c>
      <c r="B30" s="27" t="n">
        <v>116748</v>
      </c>
      <c r="C30" s="27" t="n">
        <v>552228059</v>
      </c>
      <c r="D30" s="27" t="n">
        <f aca="false">O30-C30</f>
        <v>152660501</v>
      </c>
      <c r="E30" s="27" t="n">
        <v>254541551</v>
      </c>
      <c r="F30" s="27" t="n">
        <v>139426545</v>
      </c>
      <c r="G30" s="27" t="n">
        <f aca="false">SUM(C30:F30)</f>
        <v>1098856656</v>
      </c>
      <c r="H30" s="154" t="n">
        <f aca="false">E30/G30</f>
        <v>0.23164217972394</v>
      </c>
      <c r="I30" s="190" t="n">
        <f aca="false">F30/G30</f>
        <v>0.126883287495872</v>
      </c>
      <c r="J30" s="15" t="s">
        <v>117</v>
      </c>
      <c r="K30" s="15"/>
      <c r="L30" s="15"/>
      <c r="M30" s="15"/>
      <c r="N30" s="15"/>
      <c r="O30" s="199" t="n">
        <v>704888560</v>
      </c>
      <c r="P30" s="27" t="n">
        <v>407202052</v>
      </c>
    </row>
    <row r="31" customFormat="false" ht="12.75" hidden="false" customHeight="false" outlineLevel="0" collapsed="false">
      <c r="A31" s="13" t="n">
        <v>6</v>
      </c>
      <c r="B31" s="27" t="n">
        <v>95884</v>
      </c>
      <c r="C31" s="27" t="n">
        <v>456500167</v>
      </c>
      <c r="D31" s="27" t="n">
        <f aca="false">O31-C31</f>
        <v>131068680</v>
      </c>
      <c r="E31" s="27" t="n">
        <v>235152589</v>
      </c>
      <c r="F31" s="27" t="n">
        <v>141839199</v>
      </c>
      <c r="G31" s="27" t="n">
        <f aca="false">SUM(C31:F31)</f>
        <v>964560635</v>
      </c>
      <c r="H31" s="154" t="n">
        <f aca="false">E31/G31</f>
        <v>0.243792438201669</v>
      </c>
      <c r="I31" s="190" t="n">
        <f aca="false">F31/G31</f>
        <v>0.147050578111142</v>
      </c>
      <c r="J31" s="27" t="n">
        <f aca="false">SUM(G26:G31)</f>
        <v>7056926523</v>
      </c>
      <c r="K31" s="144"/>
      <c r="L31" s="188"/>
      <c r="M31" s="189"/>
      <c r="N31" s="190"/>
      <c r="O31" s="199" t="n">
        <v>587568847</v>
      </c>
      <c r="P31" s="27" t="n">
        <v>366221269</v>
      </c>
    </row>
    <row r="32" customFormat="false" ht="12.75" hidden="false" customHeight="false" outlineLevel="0" collapsed="false">
      <c r="A32" s="13" t="n">
        <v>7</v>
      </c>
      <c r="B32" s="27" t="n">
        <v>76416</v>
      </c>
      <c r="C32" s="27" t="n">
        <v>343070002</v>
      </c>
      <c r="D32" s="27" t="n">
        <f aca="false">O32-C32</f>
        <v>100365404</v>
      </c>
      <c r="E32" s="27" t="n">
        <v>198792262</v>
      </c>
      <c r="F32" s="27" t="n">
        <v>130014941</v>
      </c>
      <c r="G32" s="27" t="n">
        <f aca="false">SUM(C32:F32)</f>
        <v>772242609</v>
      </c>
      <c r="H32" s="154" t="n">
        <f aca="false">E32/G32</f>
        <v>0.257422032510511</v>
      </c>
      <c r="I32" s="190" t="n">
        <f aca="false">F32/G32</f>
        <v>0.168360227064342</v>
      </c>
      <c r="J32" s="165"/>
      <c r="K32" s="165"/>
      <c r="L32" s="165"/>
      <c r="M32" s="165"/>
      <c r="N32" s="48"/>
      <c r="O32" s="199" t="n">
        <v>443435406</v>
      </c>
      <c r="P32" s="27" t="n">
        <v>299157666</v>
      </c>
    </row>
    <row r="33" customFormat="false" ht="12.75" hidden="false" customHeight="false" outlineLevel="0" collapsed="false">
      <c r="A33" s="13" t="n">
        <v>8</v>
      </c>
      <c r="B33" s="27" t="n">
        <v>69422</v>
      </c>
      <c r="C33" s="27" t="n">
        <v>307844939</v>
      </c>
      <c r="D33" s="27" t="n">
        <f aca="false">O33-C33</f>
        <v>90740777</v>
      </c>
      <c r="E33" s="27" t="n">
        <v>189186197</v>
      </c>
      <c r="F33" s="27" t="n">
        <v>137129706</v>
      </c>
      <c r="G33" s="27" t="n">
        <f aca="false">SUM(C33:F33)</f>
        <v>724901619</v>
      </c>
      <c r="H33" s="154" t="n">
        <f aca="false">E33/G33</f>
        <v>0.260981893323651</v>
      </c>
      <c r="I33" s="190" t="n">
        <f aca="false">F33/G33</f>
        <v>0.189170092059072</v>
      </c>
      <c r="J33" s="165"/>
      <c r="K33" s="165"/>
      <c r="L33" s="165"/>
      <c r="M33" s="165"/>
      <c r="N33" s="48"/>
      <c r="O33" s="199" t="n">
        <v>398585716</v>
      </c>
      <c r="P33" s="27" t="n">
        <v>279926974</v>
      </c>
    </row>
    <row r="34" customFormat="false" ht="12.75" hidden="false" customHeight="false" outlineLevel="0" collapsed="false">
      <c r="A34" s="13" t="n">
        <v>9</v>
      </c>
      <c r="B34" s="27" t="n">
        <v>70688</v>
      </c>
      <c r="C34" s="27" t="n">
        <v>312280312</v>
      </c>
      <c r="D34" s="27" t="n">
        <f aca="false">O34-C34</f>
        <v>92603573</v>
      </c>
      <c r="E34" s="27" t="n">
        <v>200336203</v>
      </c>
      <c r="F34" s="27" t="n">
        <v>162434989</v>
      </c>
      <c r="G34" s="27" t="n">
        <f aca="false">SUM(C34:F34)</f>
        <v>767655077</v>
      </c>
      <c r="H34" s="154" t="n">
        <f aca="false">E34/G34</f>
        <v>0.260971638177546</v>
      </c>
      <c r="I34" s="190" t="n">
        <f aca="false">F34/G34</f>
        <v>0.211598924916639</v>
      </c>
      <c r="J34" s="165"/>
      <c r="K34" s="165"/>
      <c r="L34" s="165"/>
      <c r="M34" s="165"/>
      <c r="N34" s="48"/>
      <c r="O34" s="199" t="n">
        <v>404883885</v>
      </c>
      <c r="P34" s="27" t="n">
        <v>292939776</v>
      </c>
    </row>
    <row r="35" customFormat="false" ht="12.75" hidden="false" customHeight="false" outlineLevel="0" collapsed="false">
      <c r="A35" s="13" t="n">
        <v>10</v>
      </c>
      <c r="B35" s="27" t="n">
        <v>79232</v>
      </c>
      <c r="C35" s="27" t="n">
        <v>349300164</v>
      </c>
      <c r="D35" s="27" t="n">
        <f aca="false">O35-C35</f>
        <v>104027385</v>
      </c>
      <c r="E35" s="27" t="n">
        <v>231960584</v>
      </c>
      <c r="F35" s="27" t="n">
        <v>221110150</v>
      </c>
      <c r="G35" s="27" t="n">
        <f aca="false">SUM(C35:F35)</f>
        <v>906398283</v>
      </c>
      <c r="H35" s="154" t="n">
        <f aca="false">E35/G35</f>
        <v>0.255914633059825</v>
      </c>
      <c r="I35" s="190" t="n">
        <f aca="false">F35/G35</f>
        <v>0.243943699085758</v>
      </c>
      <c r="J35" s="165"/>
      <c r="K35" s="165"/>
      <c r="L35" s="165"/>
      <c r="M35" s="165"/>
      <c r="N35" s="48"/>
      <c r="O35" s="199" t="n">
        <v>453327549</v>
      </c>
      <c r="P35" s="27" t="n">
        <v>335987969</v>
      </c>
    </row>
    <row r="36" customFormat="false" ht="12.75" hidden="false" customHeight="false" outlineLevel="0" collapsed="false">
      <c r="A36" s="13" t="n">
        <v>11</v>
      </c>
      <c r="B36" s="27" t="n">
        <v>110285</v>
      </c>
      <c r="C36" s="27" t="n">
        <v>479385254</v>
      </c>
      <c r="D36" s="27" t="n">
        <f aca="false">O36-C36</f>
        <v>143251038</v>
      </c>
      <c r="E36" s="27" t="n">
        <v>327627765</v>
      </c>
      <c r="F36" s="27" t="n">
        <v>405946041</v>
      </c>
      <c r="G36" s="27" t="n">
        <f aca="false">SUM(C36:F36)</f>
        <v>1356210098</v>
      </c>
      <c r="H36" s="154" t="n">
        <f aca="false">E36/G36</f>
        <v>0.241575966351491</v>
      </c>
      <c r="I36" s="190" t="n">
        <f aca="false">F36/G36</f>
        <v>0.299323859628127</v>
      </c>
      <c r="J36" s="15" t="s">
        <v>132</v>
      </c>
      <c r="K36" s="15"/>
      <c r="L36" s="15"/>
      <c r="M36" s="15"/>
      <c r="N36" s="15"/>
      <c r="O36" s="199" t="n">
        <v>622636292</v>
      </c>
      <c r="P36" s="27" t="n">
        <v>470878803</v>
      </c>
    </row>
    <row r="37" customFormat="false" ht="15" hidden="false" customHeight="false" outlineLevel="0" collapsed="false">
      <c r="A37" s="17" t="n">
        <v>12</v>
      </c>
      <c r="B37" s="145" t="n">
        <v>421707</v>
      </c>
      <c r="C37" s="145" t="n">
        <v>1738877740</v>
      </c>
      <c r="D37" s="145" t="n">
        <f aca="false">O37-C37</f>
        <v>521831173</v>
      </c>
      <c r="E37" s="145" t="n">
        <v>1217046567</v>
      </c>
      <c r="F37" s="145" t="n">
        <v>3024468756</v>
      </c>
      <c r="G37" s="145" t="n">
        <f aca="false">SUM(C37:F37)</f>
        <v>6502224236</v>
      </c>
      <c r="H37" s="155" t="n">
        <f aca="false">E37/G37</f>
        <v>0.187173884324342</v>
      </c>
      <c r="I37" s="200" t="n">
        <f aca="false">F37/G37</f>
        <v>0.46514371793806</v>
      </c>
      <c r="J37" s="27" t="n">
        <f aca="false">SUM(G32:G37)</f>
        <v>11029631922</v>
      </c>
      <c r="K37" s="144"/>
      <c r="L37" s="188"/>
      <c r="M37" s="192"/>
      <c r="N37" s="190"/>
      <c r="O37" s="201" t="n">
        <v>2260708913</v>
      </c>
      <c r="P37" s="145" t="n">
        <v>1738877740</v>
      </c>
      <c r="Q37" s="202"/>
      <c r="R37" s="202"/>
      <c r="S37" s="202"/>
    </row>
    <row r="38" customFormat="false" ht="12.75" hidden="false" customHeight="false" outlineLevel="0" collapsed="false">
      <c r="A38" s="53" t="s">
        <v>121</v>
      </c>
      <c r="B38" s="38" t="n">
        <f aca="false">SUM(B26:B37)</f>
        <v>1723254</v>
      </c>
      <c r="C38" s="133" t="n">
        <f aca="false">SUM(C26:C37)</f>
        <v>7568080005</v>
      </c>
      <c r="D38" s="133" t="n">
        <f aca="false">SUM(D26:D37)</f>
        <v>2068530206</v>
      </c>
      <c r="E38" s="133" t="n">
        <f aca="false">SUM(E26:E37)</f>
        <v>3819562689</v>
      </c>
      <c r="F38" s="133" t="n">
        <f aca="false">SUM(F26:F37)</f>
        <v>4630385545</v>
      </c>
      <c r="G38" s="133" t="n">
        <f aca="false">SUM(G26:G37)</f>
        <v>18086558445</v>
      </c>
      <c r="H38" s="156" t="n">
        <f aca="false">E38/G38</f>
        <v>0.211182392748462</v>
      </c>
      <c r="I38" s="45" t="n">
        <f aca="false">F38/G38</f>
        <v>0.256012527705627</v>
      </c>
      <c r="J38" s="194" t="n">
        <f aca="false">SUM(J31:J37)</f>
        <v>18086558445</v>
      </c>
      <c r="K38" s="193"/>
      <c r="L38" s="193"/>
      <c r="M38" s="194"/>
      <c r="N38" s="54"/>
      <c r="O38" s="203" t="n">
        <f aca="false">SUM(O26:O37)</f>
        <v>9636610211</v>
      </c>
      <c r="P38" s="133" t="n">
        <f aca="false">SUM(P26:P37)</f>
        <v>5888092895</v>
      </c>
    </row>
    <row r="39" customFormat="false" ht="12.75" hidden="false" customHeight="false" outlineLevel="0" collapsed="false">
      <c r="A39" s="204"/>
      <c r="B39" s="43"/>
      <c r="C39" s="27"/>
    </row>
    <row r="40" customFormat="false" ht="11.25" hidden="false" customHeight="false" outlineLevel="0" collapsed="false">
      <c r="C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customFormat="false" ht="11.25" hidden="false" customHeight="false" outlineLevel="0" collapsed="false">
      <c r="C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customFormat="false" ht="11.25" hidden="false" customHeight="false" outlineLevel="0" collapsed="false">
      <c r="C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</sheetData>
  <mergeCells count="6">
    <mergeCell ref="A2:N2"/>
    <mergeCell ref="A3:N3"/>
    <mergeCell ref="J12:N12"/>
    <mergeCell ref="J18:N18"/>
    <mergeCell ref="J30:N30"/>
    <mergeCell ref="J36:N36"/>
  </mergeCells>
  <printOptions headings="tru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&amp;CPacific Gas and Electric Company
Rate Design Workpapers
3 Cent Surcharge</oddHeader>
    <oddFooter>&amp;L&amp;D  &amp;T&amp;R&amp;F 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05"/>
  <sheetViews>
    <sheetView showFormulas="false" showGridLines="true" showRowColHeaders="true" showZeros="true" rightToLeft="false" tabSelected="false" showOutlineSymbols="true" defaultGridColor="true" view="normal" topLeftCell="A89" colorId="64" zoomScale="100" zoomScaleNormal="100" zoomScalePageLayoutView="100" workbookViewId="0">
      <selection pane="topLeft" activeCell="G91" activeCellId="0" sqref="G9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4" width="13.7"/>
    <col collapsed="false" customWidth="true" hidden="false" outlineLevel="0" max="2" min="2" style="43" width="10.13"/>
    <col collapsed="false" customWidth="true" hidden="false" outlineLevel="0" max="3" min="3" style="43" width="13.7"/>
    <col collapsed="false" customWidth="true" hidden="false" outlineLevel="0" max="4" min="4" style="43" width="12.7"/>
    <col collapsed="false" customWidth="true" hidden="false" outlineLevel="0" max="5" min="5" style="43" width="14.7"/>
    <col collapsed="false" customWidth="true" hidden="false" outlineLevel="0" max="6" min="6" style="5" width="13.85"/>
    <col collapsed="false" customWidth="true" hidden="false" outlineLevel="0" max="7" min="7" style="5" width="10.28"/>
    <col collapsed="false" customWidth="true" hidden="false" outlineLevel="0" max="8" min="8" style="5" width="11.42"/>
    <col collapsed="false" customWidth="true" hidden="false" outlineLevel="0" max="9" min="9" style="5" width="14.56"/>
    <col collapsed="false" customWidth="true" hidden="false" outlineLevel="0" max="11" min="10" style="5" width="11.7"/>
  </cols>
  <sheetData>
    <row r="1" customFormat="false" ht="12.75" hidden="false" customHeight="false" outlineLevel="0" collapsed="false">
      <c r="A1" s="4" t="s">
        <v>133</v>
      </c>
      <c r="B1" s="4"/>
      <c r="C1" s="4"/>
      <c r="D1" s="4"/>
      <c r="E1" s="4"/>
    </row>
    <row r="2" customFormat="false" ht="12.75" hidden="false" customHeight="false" outlineLevel="0" collapsed="false">
      <c r="A2" s="9"/>
      <c r="B2" s="195"/>
      <c r="C2" s="205" t="s">
        <v>134</v>
      </c>
      <c r="D2" s="205" t="s">
        <v>106</v>
      </c>
      <c r="E2" s="205" t="s">
        <v>135</v>
      </c>
      <c r="F2" s="47"/>
    </row>
    <row r="3" customFormat="false" ht="12.75" hidden="false" customHeight="false" outlineLevel="0" collapsed="false">
      <c r="A3" s="142"/>
      <c r="B3" s="165"/>
      <c r="C3" s="206" t="s">
        <v>43</v>
      </c>
      <c r="D3" s="206" t="s">
        <v>44</v>
      </c>
      <c r="E3" s="206" t="s">
        <v>45</v>
      </c>
      <c r="F3" s="48"/>
    </row>
    <row r="4" customFormat="false" ht="12.75" hidden="false" customHeight="false" outlineLevel="0" collapsed="false">
      <c r="A4" s="49" t="s">
        <v>136</v>
      </c>
      <c r="B4" s="207" t="s">
        <v>14</v>
      </c>
      <c r="C4" s="208" t="n">
        <f aca="false">C70</f>
        <v>0.723232847020386</v>
      </c>
      <c r="D4" s="208" t="n">
        <f aca="false">D70</f>
        <v>0.10259828561176</v>
      </c>
      <c r="E4" s="208" t="n">
        <f aca="false">E70</f>
        <v>0.174168867367854</v>
      </c>
      <c r="F4" s="48"/>
    </row>
    <row r="5" customFormat="false" ht="12.75" hidden="false" customHeight="false" outlineLevel="0" collapsed="false">
      <c r="A5" s="13" t="s">
        <v>137</v>
      </c>
      <c r="B5" s="22" t="n">
        <f aca="false">B24</f>
        <v>78220</v>
      </c>
      <c r="C5" s="22" t="n">
        <f aca="false">C24</f>
        <v>252973794</v>
      </c>
      <c r="D5" s="154"/>
      <c r="E5" s="22"/>
      <c r="F5" s="91" t="n">
        <f aca="false">SUM(B5:E5)</f>
        <v>253052014</v>
      </c>
    </row>
    <row r="6" customFormat="false" ht="12.75" hidden="false" customHeight="false" outlineLevel="0" collapsed="false">
      <c r="A6" s="13" t="s">
        <v>138</v>
      </c>
      <c r="B6" s="27" t="n">
        <f aca="false">B40</f>
        <v>44069</v>
      </c>
      <c r="C6" s="27" t="n">
        <f aca="false">C40</f>
        <v>267026786</v>
      </c>
      <c r="D6" s="27" t="n">
        <f aca="false">D40</f>
        <v>12183365</v>
      </c>
      <c r="E6" s="22"/>
      <c r="F6" s="91" t="n">
        <f aca="false">SUM(B6:E6)</f>
        <v>279254220</v>
      </c>
      <c r="G6" s="43"/>
    </row>
    <row r="7" customFormat="false" ht="12.75" hidden="false" customHeight="false" outlineLevel="0" collapsed="false">
      <c r="A7" s="17" t="s">
        <v>92</v>
      </c>
      <c r="B7" s="30" t="n">
        <f aca="false">B59</f>
        <v>162990</v>
      </c>
      <c r="C7" s="30" t="n">
        <f aca="false">C59</f>
        <v>887694151</v>
      </c>
      <c r="D7" s="30" t="n">
        <f aca="false">D59</f>
        <v>187513132</v>
      </c>
      <c r="E7" s="30" t="n">
        <f aca="false">E59</f>
        <v>339000915</v>
      </c>
      <c r="F7" s="92" t="n">
        <f aca="false">SUM(B7:E7)</f>
        <v>1414371188</v>
      </c>
    </row>
    <row r="8" customFormat="false" ht="12.75" hidden="false" customHeight="false" outlineLevel="0" collapsed="false">
      <c r="A8" s="53" t="s">
        <v>88</v>
      </c>
      <c r="B8" s="38" t="n">
        <f aca="false">SUM(B5:B7)</f>
        <v>285279</v>
      </c>
      <c r="C8" s="38" t="n">
        <f aca="false">SUM(C5:C7)</f>
        <v>1407694731</v>
      </c>
      <c r="D8" s="38" t="n">
        <f aca="false">SUM(D5:D7)</f>
        <v>199696497</v>
      </c>
      <c r="E8" s="38" t="n">
        <f aca="false">SUM(E5:E7)</f>
        <v>339000915</v>
      </c>
      <c r="F8" s="93" t="n">
        <f aca="false">SUM(F5:F7)</f>
        <v>1946677422</v>
      </c>
    </row>
    <row r="9" customFormat="false" ht="12.75" hidden="false" customHeight="false" outlineLevel="0" collapsed="false">
      <c r="A9" s="209"/>
    </row>
    <row r="10" customFormat="false" ht="12.75" hidden="false" customHeight="false" outlineLevel="0" collapsed="false">
      <c r="A10" s="210" t="s">
        <v>139</v>
      </c>
      <c r="C10" s="211" t="s">
        <v>134</v>
      </c>
      <c r="G10" s="5" t="s">
        <v>140</v>
      </c>
      <c r="H10" s="5" t="s">
        <v>140</v>
      </c>
    </row>
    <row r="11" customFormat="false" ht="12.75" hidden="false" customHeight="false" outlineLevel="0" collapsed="false">
      <c r="A11" s="212" t="s">
        <v>141</v>
      </c>
      <c r="B11" s="213" t="s">
        <v>110</v>
      </c>
      <c r="C11" s="213" t="s">
        <v>126</v>
      </c>
      <c r="D11" s="214"/>
      <c r="E11" s="214"/>
      <c r="F11" s="214" t="s">
        <v>63</v>
      </c>
      <c r="G11" s="214" t="s">
        <v>14</v>
      </c>
      <c r="H11" s="214" t="s">
        <v>142</v>
      </c>
      <c r="I11" s="214"/>
      <c r="J11" s="214"/>
      <c r="K11" s="214"/>
    </row>
    <row r="12" customFormat="false" ht="12.75" hidden="false" customHeight="false" outlineLevel="0" collapsed="false">
      <c r="A12" s="204" t="n">
        <v>1</v>
      </c>
      <c r="B12" s="0" t="n">
        <v>85</v>
      </c>
      <c r="C12" s="0" t="n">
        <v>13261</v>
      </c>
    </row>
    <row r="13" customFormat="false" ht="12.75" hidden="false" customHeight="false" outlineLevel="0" collapsed="false">
      <c r="A13" s="204" t="n">
        <v>2</v>
      </c>
      <c r="B13" s="0" t="n">
        <v>95</v>
      </c>
      <c r="C13" s="0" t="n">
        <v>42956</v>
      </c>
    </row>
    <row r="14" customFormat="false" ht="12.75" hidden="false" customHeight="false" outlineLevel="0" collapsed="false">
      <c r="A14" s="204" t="n">
        <v>3</v>
      </c>
      <c r="B14" s="0" t="n">
        <v>140</v>
      </c>
      <c r="C14" s="0" t="n">
        <v>170406</v>
      </c>
    </row>
    <row r="15" customFormat="false" ht="12.75" hidden="false" customHeight="false" outlineLevel="0" collapsed="false">
      <c r="A15" s="204" t="n">
        <v>4</v>
      </c>
      <c r="B15" s="0" t="n">
        <v>137</v>
      </c>
      <c r="C15" s="0" t="n">
        <v>120023</v>
      </c>
    </row>
    <row r="16" customFormat="false" ht="12.75" hidden="false" customHeight="false" outlineLevel="0" collapsed="false">
      <c r="A16" s="204" t="n">
        <v>5</v>
      </c>
      <c r="B16" s="0" t="n">
        <v>168</v>
      </c>
      <c r="C16" s="0" t="n">
        <v>182537</v>
      </c>
    </row>
    <row r="17" customFormat="false" ht="12.75" hidden="false" customHeight="false" outlineLevel="0" collapsed="false">
      <c r="A17" s="204" t="n">
        <v>6</v>
      </c>
      <c r="B17" s="0" t="n">
        <v>210</v>
      </c>
      <c r="C17" s="0" t="n">
        <v>237504</v>
      </c>
    </row>
    <row r="18" customFormat="false" ht="12.75" hidden="false" customHeight="false" outlineLevel="0" collapsed="false">
      <c r="A18" s="204" t="n">
        <v>7</v>
      </c>
      <c r="B18" s="0" t="n">
        <v>239</v>
      </c>
      <c r="C18" s="0" t="n">
        <v>1342598</v>
      </c>
    </row>
    <row r="19" customFormat="false" ht="12.75" hidden="false" customHeight="false" outlineLevel="0" collapsed="false">
      <c r="A19" s="204" t="n">
        <v>8</v>
      </c>
      <c r="B19" s="0" t="n">
        <v>288</v>
      </c>
      <c r="C19" s="0" t="n">
        <v>578274</v>
      </c>
    </row>
    <row r="20" customFormat="false" ht="12.75" hidden="false" customHeight="false" outlineLevel="0" collapsed="false">
      <c r="A20" s="204" t="n">
        <v>9</v>
      </c>
      <c r="B20" s="0" t="n">
        <v>336</v>
      </c>
      <c r="C20" s="0" t="n">
        <v>621758</v>
      </c>
    </row>
    <row r="21" customFormat="false" ht="12.75" hidden="false" customHeight="false" outlineLevel="0" collapsed="false">
      <c r="A21" s="204" t="n">
        <v>10</v>
      </c>
      <c r="B21" s="0" t="n">
        <v>479</v>
      </c>
      <c r="C21" s="0" t="n">
        <v>1190620</v>
      </c>
    </row>
    <row r="22" customFormat="false" ht="12.75" hidden="false" customHeight="false" outlineLevel="0" collapsed="false">
      <c r="A22" s="204" t="n">
        <v>11</v>
      </c>
      <c r="B22" s="0" t="n">
        <v>1279</v>
      </c>
      <c r="C22" s="0" t="n">
        <v>3763611</v>
      </c>
    </row>
    <row r="23" customFormat="false" ht="12.75" hidden="false" customHeight="false" outlineLevel="0" collapsed="false">
      <c r="A23" s="204" t="n">
        <v>12</v>
      </c>
      <c r="B23" s="0" t="n">
        <v>74764</v>
      </c>
      <c r="C23" s="0" t="n">
        <v>244710246</v>
      </c>
      <c r="H23" s="215"/>
    </row>
    <row r="24" customFormat="false" ht="12.75" hidden="false" customHeight="false" outlineLevel="0" collapsed="false">
      <c r="B24" s="43" t="n">
        <f aca="false">SUM(B12:B23)</f>
        <v>78220</v>
      </c>
      <c r="C24" s="43" t="n">
        <f aca="false">SUM(C12:C23)</f>
        <v>252973794</v>
      </c>
      <c r="D24" s="5"/>
      <c r="E24" s="5"/>
      <c r="F24" s="43" t="n">
        <f aca="false">SUM(C24:E24)</f>
        <v>252973794</v>
      </c>
      <c r="G24" s="149" t="n">
        <f aca="false">B24/B$69</f>
        <v>0.274187724999036</v>
      </c>
      <c r="H24" s="130" t="n">
        <f aca="false">F24/F$69</f>
        <v>0.129970620211243</v>
      </c>
    </row>
    <row r="25" customFormat="false" ht="12.75" hidden="false" customHeight="false" outlineLevel="0" collapsed="false">
      <c r="D25" s="5"/>
      <c r="E25" s="5"/>
    </row>
    <row r="26" customFormat="false" ht="12.75" hidden="false" customHeight="false" outlineLevel="0" collapsed="false">
      <c r="A26" s="210" t="s">
        <v>139</v>
      </c>
      <c r="C26" s="211" t="s">
        <v>134</v>
      </c>
      <c r="D26" s="211" t="s">
        <v>106</v>
      </c>
      <c r="E26" s="5"/>
    </row>
    <row r="27" customFormat="false" ht="12.75" hidden="false" customHeight="false" outlineLevel="0" collapsed="false">
      <c r="A27" s="212" t="s">
        <v>143</v>
      </c>
      <c r="B27" s="213" t="s">
        <v>110</v>
      </c>
      <c r="C27" s="213" t="s">
        <v>126</v>
      </c>
      <c r="D27" s="213" t="s">
        <v>127</v>
      </c>
      <c r="F27" s="214" t="s">
        <v>88</v>
      </c>
      <c r="G27" s="214"/>
      <c r="H27" s="214"/>
      <c r="I27" s="214"/>
      <c r="J27" s="214"/>
      <c r="K27" s="214"/>
    </row>
    <row r="28" customFormat="false" ht="12.75" hidden="false" customHeight="false" outlineLevel="0" collapsed="false">
      <c r="A28" s="204" t="n">
        <v>1</v>
      </c>
      <c r="B28" s="0" t="n">
        <v>13555</v>
      </c>
      <c r="C28" s="0" t="n">
        <v>58936457</v>
      </c>
      <c r="D28" s="0" t="n">
        <v>576152</v>
      </c>
      <c r="F28" s="43" t="n">
        <f aca="false">SUM(C28:D28)</f>
        <v>59512609</v>
      </c>
      <c r="I28" s="154" t="n">
        <f aca="false">D28/F28</f>
        <v>0.00968117529513788</v>
      </c>
    </row>
    <row r="29" customFormat="false" ht="12.75" hidden="false" customHeight="false" outlineLevel="0" collapsed="false">
      <c r="A29" s="204" t="n">
        <v>2</v>
      </c>
      <c r="B29" s="0" t="n">
        <v>8992</v>
      </c>
      <c r="C29" s="0" t="n">
        <v>40759812</v>
      </c>
      <c r="D29" s="0" t="n">
        <v>876009</v>
      </c>
      <c r="F29" s="43" t="n">
        <f aca="false">SUM(C29:D29)</f>
        <v>41635821</v>
      </c>
      <c r="I29" s="154" t="n">
        <f aca="false">D29/F29</f>
        <v>0.0210397916736168</v>
      </c>
    </row>
    <row r="30" customFormat="false" ht="12.75" hidden="false" customHeight="false" outlineLevel="0" collapsed="false">
      <c r="A30" s="204" t="n">
        <v>3</v>
      </c>
      <c r="B30" s="0" t="n">
        <v>6153</v>
      </c>
      <c r="C30" s="0" t="n">
        <v>32468547</v>
      </c>
      <c r="D30" s="0" t="n">
        <v>992326</v>
      </c>
      <c r="F30" s="43" t="n">
        <f aca="false">SUM(C30:D30)</f>
        <v>33460873</v>
      </c>
      <c r="I30" s="154" t="n">
        <f aca="false">D30/F30</f>
        <v>0.0296563093258206</v>
      </c>
    </row>
    <row r="31" customFormat="false" ht="12.75" hidden="false" customHeight="false" outlineLevel="0" collapsed="false">
      <c r="A31" s="204" t="n">
        <v>4</v>
      </c>
      <c r="B31" s="0" t="n">
        <v>4332</v>
      </c>
      <c r="C31" s="0" t="n">
        <v>25387233</v>
      </c>
      <c r="D31" s="0" t="n">
        <v>947339</v>
      </c>
      <c r="F31" s="43" t="n">
        <f aca="false">SUM(C31:D31)</f>
        <v>26334572</v>
      </c>
      <c r="I31" s="154" t="n">
        <f aca="false">D31/F31</f>
        <v>0.0359732066273946</v>
      </c>
    </row>
    <row r="32" customFormat="false" ht="12.75" hidden="false" customHeight="false" outlineLevel="0" collapsed="false">
      <c r="A32" s="204" t="n">
        <v>5</v>
      </c>
      <c r="B32" s="0" t="n">
        <v>3263</v>
      </c>
      <c r="C32" s="0" t="n">
        <v>20024330</v>
      </c>
      <c r="D32" s="0" t="n">
        <v>857621</v>
      </c>
      <c r="F32" s="43" t="n">
        <f aca="false">SUM(C32:D32)</f>
        <v>20881951</v>
      </c>
      <c r="I32" s="154" t="n">
        <f aca="false">D32/F32</f>
        <v>0.0410699651579491</v>
      </c>
    </row>
    <row r="33" customFormat="false" ht="12.75" hidden="false" customHeight="false" outlineLevel="0" collapsed="false">
      <c r="A33" s="204" t="n">
        <v>6</v>
      </c>
      <c r="B33" s="0" t="n">
        <v>2320</v>
      </c>
      <c r="C33" s="0" t="n">
        <v>17939304</v>
      </c>
      <c r="D33" s="0" t="n">
        <v>990492</v>
      </c>
      <c r="F33" s="43" t="n">
        <f aca="false">SUM(C33:D33)</f>
        <v>18929796</v>
      </c>
      <c r="I33" s="154" t="n">
        <f aca="false">D33/F33</f>
        <v>0.0523244941466881</v>
      </c>
    </row>
    <row r="34" customFormat="false" ht="12.75" hidden="false" customHeight="false" outlineLevel="0" collapsed="false">
      <c r="A34" s="204" t="n">
        <v>7</v>
      </c>
      <c r="B34" s="0" t="n">
        <v>1495</v>
      </c>
      <c r="C34" s="0" t="n">
        <v>12875830</v>
      </c>
      <c r="D34" s="0" t="n">
        <v>784879</v>
      </c>
      <c r="F34" s="43" t="n">
        <f aca="false">SUM(C34:D34)</f>
        <v>13660709</v>
      </c>
      <c r="I34" s="154" t="n">
        <f aca="false">D34/F34</f>
        <v>0.05745521700228</v>
      </c>
    </row>
    <row r="35" customFormat="false" ht="12.75" hidden="false" customHeight="false" outlineLevel="0" collapsed="false">
      <c r="A35" s="204" t="n">
        <v>8</v>
      </c>
      <c r="B35" s="0" t="n">
        <v>1162</v>
      </c>
      <c r="C35" s="0" t="n">
        <v>8618029</v>
      </c>
      <c r="D35" s="0" t="n">
        <v>553556</v>
      </c>
      <c r="F35" s="43" t="n">
        <f aca="false">SUM(C35:D35)</f>
        <v>9171585</v>
      </c>
      <c r="I35" s="154" t="n">
        <f aca="false">D35/F35</f>
        <v>0.0603555437800555</v>
      </c>
    </row>
    <row r="36" customFormat="false" ht="12.75" hidden="false" customHeight="false" outlineLevel="0" collapsed="false">
      <c r="A36" s="204" t="n">
        <v>9</v>
      </c>
      <c r="B36" s="0" t="n">
        <v>848</v>
      </c>
      <c r="C36" s="0" t="n">
        <v>7837966</v>
      </c>
      <c r="D36" s="0" t="n">
        <v>619011</v>
      </c>
      <c r="F36" s="43" t="n">
        <f aca="false">SUM(C36:D36)</f>
        <v>8456977</v>
      </c>
      <c r="I36" s="154" t="n">
        <f aca="false">D36/F36</f>
        <v>0.0731953037119529</v>
      </c>
    </row>
    <row r="37" customFormat="false" ht="12.75" hidden="false" customHeight="false" outlineLevel="0" collapsed="false">
      <c r="A37" s="204" t="n">
        <v>10</v>
      </c>
      <c r="B37" s="0" t="n">
        <v>685</v>
      </c>
      <c r="C37" s="0" t="n">
        <v>15865115</v>
      </c>
      <c r="D37" s="0" t="n">
        <v>1321830</v>
      </c>
      <c r="F37" s="43" t="n">
        <f aca="false">SUM(C37:D37)</f>
        <v>17186945</v>
      </c>
      <c r="I37" s="154" t="n">
        <f aca="false">D37/F37</f>
        <v>0.0769089561873853</v>
      </c>
    </row>
    <row r="38" customFormat="false" ht="12.75" hidden="false" customHeight="false" outlineLevel="0" collapsed="false">
      <c r="A38" s="204" t="n">
        <v>11</v>
      </c>
      <c r="B38" s="0" t="n">
        <v>622</v>
      </c>
      <c r="C38" s="0" t="n">
        <v>10292535</v>
      </c>
      <c r="D38" s="0" t="n">
        <v>1133690</v>
      </c>
      <c r="F38" s="43" t="n">
        <f aca="false">SUM(C38:D38)</f>
        <v>11426225</v>
      </c>
      <c r="I38" s="154" t="n">
        <f aca="false">D38/F38</f>
        <v>0.0992182457460797</v>
      </c>
    </row>
    <row r="39" customFormat="false" ht="12.75" hidden="false" customHeight="false" outlineLevel="0" collapsed="false">
      <c r="A39" s="204" t="n">
        <v>12</v>
      </c>
      <c r="B39" s="0" t="n">
        <v>642</v>
      </c>
      <c r="C39" s="0" t="n">
        <v>16021628</v>
      </c>
      <c r="D39" s="0" t="n">
        <v>2530460</v>
      </c>
      <c r="F39" s="43" t="n">
        <f aca="false">SUM(C39:D39)</f>
        <v>18552088</v>
      </c>
      <c r="I39" s="154" t="n">
        <f aca="false">D39/F39</f>
        <v>0.136397585004987</v>
      </c>
    </row>
    <row r="40" customFormat="false" ht="12.75" hidden="false" customHeight="false" outlineLevel="0" collapsed="false">
      <c r="B40" s="43" t="n">
        <f aca="false">SUM(B28:B39)</f>
        <v>44069</v>
      </c>
      <c r="C40" s="43" t="n">
        <f aca="false">SUM(C28:C39)</f>
        <v>267026786</v>
      </c>
      <c r="D40" s="43" t="n">
        <f aca="false">SUM(D28:D39)</f>
        <v>12183365</v>
      </c>
      <c r="F40" s="43" t="n">
        <f aca="false">SUM(F28:F39)</f>
        <v>279210151</v>
      </c>
      <c r="G40" s="149" t="n">
        <f aca="false">B40/B$69</f>
        <v>0.15447684547408</v>
      </c>
      <c r="H40" s="130" t="n">
        <f aca="false">F40/F$69</f>
        <v>0.143450101771193</v>
      </c>
    </row>
    <row r="41" customFormat="false" ht="12.75" hidden="false" customHeight="false" outlineLevel="0" collapsed="false">
      <c r="C41" s="154" t="n">
        <f aca="false">C40/$F40</f>
        <v>0.956364892335164</v>
      </c>
      <c r="D41" s="154" t="n">
        <f aca="false">D40/$F40</f>
        <v>0.0436351076648356</v>
      </c>
      <c r="E41" s="154"/>
    </row>
    <row r="42" customFormat="false" ht="12.75" hidden="false" customHeight="false" outlineLevel="0" collapsed="false">
      <c r="D42" s="154"/>
      <c r="F42" s="43"/>
      <c r="G42" s="154"/>
    </row>
    <row r="43" customFormat="false" ht="12.75" hidden="false" customHeight="false" outlineLevel="0" collapsed="false">
      <c r="D43" s="154"/>
      <c r="E43" s="154"/>
      <c r="G43" s="154"/>
    </row>
    <row r="44" customFormat="false" ht="12.75" hidden="false" customHeight="false" outlineLevel="0" collapsed="false">
      <c r="A44" s="210" t="s">
        <v>139</v>
      </c>
      <c r="C44" s="211" t="s">
        <v>134</v>
      </c>
      <c r="D44" s="211" t="s">
        <v>106</v>
      </c>
      <c r="E44" s="211" t="s">
        <v>135</v>
      </c>
    </row>
    <row r="45" customFormat="false" ht="12.75" hidden="false" customHeight="false" outlineLevel="0" collapsed="false">
      <c r="A45" s="212" t="s">
        <v>144</v>
      </c>
      <c r="B45" s="213" t="s">
        <v>110</v>
      </c>
      <c r="C45" s="213" t="s">
        <v>126</v>
      </c>
      <c r="D45" s="213" t="s">
        <v>127</v>
      </c>
      <c r="E45" s="213" t="s">
        <v>128</v>
      </c>
      <c r="F45" s="214"/>
      <c r="G45" s="214"/>
      <c r="H45" s="214"/>
      <c r="I45" s="214"/>
      <c r="J45" s="214"/>
      <c r="K45" s="214"/>
    </row>
    <row r="47" customFormat="false" ht="12.75" hidden="false" customHeight="false" outlineLevel="0" collapsed="false">
      <c r="A47" s="204" t="n">
        <v>1</v>
      </c>
      <c r="B47" s="0" t="n">
        <v>18636</v>
      </c>
      <c r="C47" s="0" t="n">
        <v>96255892</v>
      </c>
      <c r="D47" s="0" t="n">
        <v>8509220</v>
      </c>
      <c r="E47" s="0" t="n">
        <v>1899832</v>
      </c>
      <c r="F47" s="43" t="n">
        <f aca="false">SUM(C47:E47)</f>
        <v>106664944</v>
      </c>
      <c r="I47" s="154" t="n">
        <f aca="false">E47/F47</f>
        <v>0.0178112126510843</v>
      </c>
    </row>
    <row r="48" customFormat="false" ht="12.75" hidden="false" customHeight="false" outlineLevel="0" collapsed="false">
      <c r="A48" s="204" t="n">
        <v>2</v>
      </c>
      <c r="B48" s="0" t="n">
        <v>15019</v>
      </c>
      <c r="C48" s="0" t="n">
        <v>78421467</v>
      </c>
      <c r="D48" s="0" t="n">
        <v>9201375</v>
      </c>
      <c r="E48" s="0" t="n">
        <v>3744001</v>
      </c>
      <c r="F48" s="43" t="n">
        <f aca="false">SUM(C48:E48)</f>
        <v>91366843</v>
      </c>
      <c r="I48" s="154" t="n">
        <f aca="false">E48/F48</f>
        <v>0.0409776772083501</v>
      </c>
    </row>
    <row r="49" customFormat="false" ht="12.75" hidden="false" customHeight="false" outlineLevel="0" collapsed="false">
      <c r="A49" s="204" t="n">
        <v>3</v>
      </c>
      <c r="B49" s="0" t="n">
        <v>14171</v>
      </c>
      <c r="C49" s="0" t="n">
        <v>80502189</v>
      </c>
      <c r="D49" s="0" t="n">
        <v>11486465</v>
      </c>
      <c r="E49" s="0" t="n">
        <v>7661923</v>
      </c>
      <c r="F49" s="43" t="n">
        <f aca="false">SUM(C49:E49)</f>
        <v>99650577</v>
      </c>
      <c r="I49" s="154" t="n">
        <f aca="false">E49/F49</f>
        <v>0.076887893985802</v>
      </c>
    </row>
    <row r="50" customFormat="false" ht="12.75" hidden="false" customHeight="false" outlineLevel="0" collapsed="false">
      <c r="A50" s="204" t="n">
        <v>4</v>
      </c>
      <c r="B50" s="0" t="n">
        <v>13781</v>
      </c>
      <c r="C50" s="0" t="n">
        <v>83003336</v>
      </c>
      <c r="D50" s="0" t="n">
        <v>13655463</v>
      </c>
      <c r="E50" s="0" t="n">
        <v>12217757</v>
      </c>
      <c r="F50" s="43" t="n">
        <f aca="false">SUM(C50:E50)</f>
        <v>108876556</v>
      </c>
      <c r="G50" s="43"/>
      <c r="I50" s="154" t="n">
        <f aca="false">E50/F50</f>
        <v>0.112216600605919</v>
      </c>
    </row>
    <row r="51" customFormat="false" ht="12.75" hidden="false" customHeight="false" outlineLevel="0" collapsed="false">
      <c r="A51" s="204" t="n">
        <v>5</v>
      </c>
      <c r="B51" s="0" t="n">
        <v>12032</v>
      </c>
      <c r="C51" s="0" t="n">
        <v>66624471</v>
      </c>
      <c r="D51" s="0" t="n">
        <v>12274023</v>
      </c>
      <c r="E51" s="0" t="n">
        <v>13679409</v>
      </c>
      <c r="F51" s="43" t="n">
        <f aca="false">SUM(C51:E51)</f>
        <v>92577903</v>
      </c>
      <c r="I51" s="154" t="n">
        <f aca="false">E51/F51</f>
        <v>0.147761059137406</v>
      </c>
    </row>
    <row r="52" customFormat="false" ht="12.75" hidden="false" customHeight="false" outlineLevel="0" collapsed="false">
      <c r="A52" s="204" t="n">
        <v>6</v>
      </c>
      <c r="B52" s="0" t="n">
        <v>9943</v>
      </c>
      <c r="C52" s="0" t="n">
        <v>56525714</v>
      </c>
      <c r="D52" s="0" t="n">
        <v>11856184</v>
      </c>
      <c r="E52" s="0" t="n">
        <v>13100550</v>
      </c>
      <c r="F52" s="43" t="n">
        <f aca="false">SUM(C52:E52)</f>
        <v>81482448</v>
      </c>
      <c r="I52" s="154" t="n">
        <f aca="false">E52/F52</f>
        <v>0.160777570158422</v>
      </c>
    </row>
    <row r="53" customFormat="false" ht="12.75" hidden="false" customHeight="false" outlineLevel="0" collapsed="false">
      <c r="A53" s="204" t="n">
        <v>7</v>
      </c>
      <c r="B53" s="0" t="n">
        <v>7707</v>
      </c>
      <c r="C53" s="0" t="n">
        <v>44098516</v>
      </c>
      <c r="D53" s="0" t="n">
        <v>10432137</v>
      </c>
      <c r="E53" s="0" t="n">
        <v>12399225</v>
      </c>
      <c r="F53" s="43" t="n">
        <f aca="false">SUM(C53:E53)</f>
        <v>66929878</v>
      </c>
      <c r="I53" s="130" t="n">
        <f aca="false">E53/F53</f>
        <v>0.185256949071385</v>
      </c>
    </row>
    <row r="54" customFormat="false" ht="12.75" hidden="false" customHeight="false" outlineLevel="0" collapsed="false">
      <c r="A54" s="204" t="n">
        <v>8</v>
      </c>
      <c r="B54" s="0" t="n">
        <v>7194</v>
      </c>
      <c r="C54" s="0" t="n">
        <v>40471734</v>
      </c>
      <c r="D54" s="0" t="n">
        <v>10292645</v>
      </c>
      <c r="E54" s="0" t="n">
        <v>13188621</v>
      </c>
      <c r="F54" s="43" t="n">
        <f aca="false">SUM(C54:E54)</f>
        <v>63953000</v>
      </c>
      <c r="I54" s="154" t="n">
        <f aca="false">E54/F54</f>
        <v>0.206223648616953</v>
      </c>
    </row>
    <row r="55" customFormat="false" ht="12.75" hidden="false" customHeight="false" outlineLevel="0" collapsed="false">
      <c r="A55" s="204" t="n">
        <v>9</v>
      </c>
      <c r="B55" s="0" t="n">
        <v>7345</v>
      </c>
      <c r="C55" s="0" t="n">
        <v>39856422</v>
      </c>
      <c r="D55" s="0" t="n">
        <v>10669908</v>
      </c>
      <c r="E55" s="0" t="n">
        <v>15134082</v>
      </c>
      <c r="F55" s="43" t="n">
        <f aca="false">SUM(C55:E55)</f>
        <v>65660412</v>
      </c>
      <c r="I55" s="154" t="n">
        <f aca="false">E55/F55</f>
        <v>0.23049020770689</v>
      </c>
    </row>
    <row r="56" customFormat="false" ht="12.75" hidden="false" customHeight="false" outlineLevel="0" collapsed="false">
      <c r="A56" s="204" t="n">
        <v>10</v>
      </c>
      <c r="B56" s="0" t="n">
        <v>8146</v>
      </c>
      <c r="C56" s="0" t="n">
        <v>46774875</v>
      </c>
      <c r="D56" s="0" t="n">
        <v>13156441</v>
      </c>
      <c r="E56" s="0" t="n">
        <v>20443259</v>
      </c>
      <c r="F56" s="43" t="n">
        <f aca="false">SUM(C56:E56)</f>
        <v>80374575</v>
      </c>
      <c r="I56" s="154" t="n">
        <f aca="false">E56/F56</f>
        <v>0.25434982393375</v>
      </c>
    </row>
    <row r="57" customFormat="false" ht="12.75" hidden="false" customHeight="false" outlineLevel="0" collapsed="false">
      <c r="A57" s="204" t="n">
        <v>11</v>
      </c>
      <c r="B57" s="0" t="n">
        <v>11072</v>
      </c>
      <c r="C57" s="0" t="n">
        <v>65527337</v>
      </c>
      <c r="D57" s="0" t="n">
        <v>19081708</v>
      </c>
      <c r="E57" s="0" t="n">
        <v>37143019</v>
      </c>
      <c r="F57" s="43" t="n">
        <f aca="false">SUM(C57:E57)</f>
        <v>121752064</v>
      </c>
      <c r="I57" s="154" t="n">
        <f aca="false">E57/F57</f>
        <v>0.305070959618393</v>
      </c>
    </row>
    <row r="58" customFormat="false" ht="12.75" hidden="false" customHeight="false" outlineLevel="0" collapsed="false">
      <c r="A58" s="164" t="n">
        <v>12</v>
      </c>
      <c r="B58" s="0" t="n">
        <v>37944</v>
      </c>
      <c r="C58" s="0" t="n">
        <v>189632198</v>
      </c>
      <c r="D58" s="0" t="n">
        <v>56897563</v>
      </c>
      <c r="E58" s="0" t="n">
        <v>188389237</v>
      </c>
      <c r="F58" s="169" t="n">
        <f aca="false">SUM(C58:E58)</f>
        <v>434918998</v>
      </c>
      <c r="I58" s="154" t="n">
        <f aca="false">E58/F58</f>
        <v>0.433159364999733</v>
      </c>
      <c r="J58" s="154"/>
    </row>
    <row r="59" customFormat="false" ht="12.75" hidden="false" customHeight="false" outlineLevel="0" collapsed="false">
      <c r="A59" s="204" t="s">
        <v>121</v>
      </c>
      <c r="B59" s="43" t="n">
        <f aca="false">SUM(B47:B58)</f>
        <v>162990</v>
      </c>
      <c r="C59" s="43" t="n">
        <f aca="false">SUM(C47:C58)</f>
        <v>887694151</v>
      </c>
      <c r="D59" s="43" t="n">
        <f aca="false">SUM(D47:D58)</f>
        <v>187513132</v>
      </c>
      <c r="E59" s="43" t="n">
        <f aca="false">SUM(E47:E58)</f>
        <v>339000915</v>
      </c>
      <c r="F59" s="43" t="n">
        <f aca="false">SUM(F47:F58)</f>
        <v>1414208198</v>
      </c>
      <c r="G59" s="154" t="n">
        <f aca="false">B59/B$69</f>
        <v>0.571335429526884</v>
      </c>
      <c r="H59" s="130" t="n">
        <f aca="false">F59/F$69</f>
        <v>0.726579278017564</v>
      </c>
      <c r="I59" s="154" t="n">
        <f aca="false">E59/F59</f>
        <v>0.239710755092087</v>
      </c>
    </row>
    <row r="60" customFormat="false" ht="12.75" hidden="false" customHeight="false" outlineLevel="0" collapsed="false">
      <c r="C60" s="130" t="n">
        <f aca="false">C59/$F59</f>
        <v>0.627696934762077</v>
      </c>
      <c r="D60" s="130" t="n">
        <f aca="false">D59/$F59</f>
        <v>0.132592310145836</v>
      </c>
      <c r="E60" s="130" t="n">
        <f aca="false">E59/$F59</f>
        <v>0.239710755092087</v>
      </c>
      <c r="F60" s="43" t="n">
        <f aca="false">F59/B59</f>
        <v>8676.65622430824</v>
      </c>
      <c r="G60" s="154"/>
      <c r="H60" s="130"/>
    </row>
    <row r="61" customFormat="false" ht="12.75" hidden="false" customHeight="false" outlineLevel="0" collapsed="false">
      <c r="C61" s="130"/>
      <c r="D61" s="130"/>
      <c r="E61" s="130"/>
      <c r="F61" s="43"/>
      <c r="G61" s="154"/>
      <c r="H61" s="130"/>
    </row>
    <row r="62" customFormat="false" ht="12.75" hidden="false" customHeight="false" outlineLevel="0" collapsed="false">
      <c r="A62" s="204" t="s">
        <v>145</v>
      </c>
      <c r="B62" s="43" t="n">
        <f aca="false">SUM(B47:B49)</f>
        <v>47826</v>
      </c>
      <c r="C62" s="43" t="n">
        <f aca="false">SUM(C47:C49)</f>
        <v>255179548</v>
      </c>
      <c r="D62" s="43" t="n">
        <f aca="false">SUM(D47:D49)</f>
        <v>29197060</v>
      </c>
      <c r="E62" s="43" t="n">
        <f aca="false">SUM(E47:E49)</f>
        <v>13305756</v>
      </c>
      <c r="F62" s="43" t="n">
        <f aca="false">SUM(F47:F49)</f>
        <v>297682364</v>
      </c>
      <c r="G62" s="154" t="n">
        <f aca="false">B62/B69</f>
        <v>0.167646409304576</v>
      </c>
    </row>
    <row r="63" customFormat="false" ht="12.75" hidden="false" customHeight="false" outlineLevel="0" collapsed="false">
      <c r="A63" s="204" t="s">
        <v>146</v>
      </c>
      <c r="B63" s="154"/>
      <c r="C63" s="154" t="n">
        <f aca="false">C62/$F62</f>
        <v>0.857220913496911</v>
      </c>
      <c r="D63" s="154" t="n">
        <f aca="false">D62/$F62</f>
        <v>0.0980812554955389</v>
      </c>
      <c r="E63" s="154" t="n">
        <f aca="false">E62/$F62</f>
        <v>0.04469783100755</v>
      </c>
      <c r="F63" s="43" t="n">
        <f aca="false">F62/B62</f>
        <v>6224.27892777987</v>
      </c>
    </row>
    <row r="64" customFormat="false" ht="12.75" hidden="false" customHeight="false" outlineLevel="0" collapsed="false">
      <c r="F64" s="43"/>
      <c r="G64" s="154"/>
    </row>
    <row r="65" customFormat="false" ht="12.75" hidden="false" customHeight="false" outlineLevel="0" collapsed="false">
      <c r="A65" s="209" t="s">
        <v>147</v>
      </c>
      <c r="B65" s="43" t="n">
        <f aca="false">B58</f>
        <v>37944</v>
      </c>
      <c r="C65" s="43" t="n">
        <f aca="false">C58</f>
        <v>189632198</v>
      </c>
      <c r="D65" s="43" t="n">
        <f aca="false">D58</f>
        <v>56897563</v>
      </c>
      <c r="E65" s="43" t="n">
        <f aca="false">E58</f>
        <v>188389237</v>
      </c>
      <c r="F65" s="43" t="n">
        <f aca="false">SUM(C65:E65)</f>
        <v>434918998</v>
      </c>
      <c r="G65" s="154" t="n">
        <f aca="false">B65/B69</f>
        <v>0.133006635609351</v>
      </c>
    </row>
    <row r="66" customFormat="false" ht="12.75" hidden="false" customHeight="false" outlineLevel="0" collapsed="false">
      <c r="A66" s="204" t="s">
        <v>146</v>
      </c>
      <c r="B66" s="5"/>
      <c r="C66" s="154" t="n">
        <f aca="false">C65/$F65</f>
        <v>0.436017278785325</v>
      </c>
      <c r="D66" s="154" t="n">
        <f aca="false">D65/$F65</f>
        <v>0.130823356214943</v>
      </c>
      <c r="E66" s="154" t="n">
        <f aca="false">E65/$F65</f>
        <v>0.433159364999733</v>
      </c>
      <c r="F66" s="43" t="n">
        <f aca="false">F65/B65</f>
        <v>11462.1283470377</v>
      </c>
    </row>
    <row r="67" customFormat="false" ht="12.75" hidden="false" customHeight="false" outlineLevel="0" collapsed="false">
      <c r="B67" s="154"/>
      <c r="C67" s="154"/>
      <c r="D67" s="154"/>
      <c r="E67" s="154"/>
    </row>
    <row r="68" customFormat="false" ht="12.75" hidden="false" customHeight="false" outlineLevel="0" collapsed="false">
      <c r="F68" s="43"/>
      <c r="G68" s="154"/>
    </row>
    <row r="69" customFormat="false" ht="12.75" hidden="false" customHeight="false" outlineLevel="0" collapsed="false">
      <c r="A69" s="204" t="s">
        <v>148</v>
      </c>
      <c r="B69" s="43" t="n">
        <f aca="false">B24+B40+B59</f>
        <v>285279</v>
      </c>
      <c r="C69" s="43" t="n">
        <f aca="false">C24+C40+C59</f>
        <v>1407694731</v>
      </c>
      <c r="D69" s="43" t="n">
        <f aca="false">D24+D40+D59</f>
        <v>199696497</v>
      </c>
      <c r="E69" s="43" t="n">
        <f aca="false">E24+E40+E59</f>
        <v>339000915</v>
      </c>
      <c r="F69" s="43" t="n">
        <f aca="false">SUM(C69:E69)</f>
        <v>1946392143</v>
      </c>
    </row>
    <row r="70" customFormat="false" ht="12.75" hidden="false" customHeight="false" outlineLevel="0" collapsed="false">
      <c r="C70" s="154" t="n">
        <f aca="false">C69/$F69</f>
        <v>0.723232847020386</v>
      </c>
      <c r="D70" s="154" t="n">
        <f aca="false">D69/$F69</f>
        <v>0.10259828561176</v>
      </c>
      <c r="E70" s="154" t="n">
        <f aca="false">E69/$F69</f>
        <v>0.174168867367854</v>
      </c>
      <c r="F70" s="43" t="n">
        <f aca="false">F69/B69</f>
        <v>6822.76698600318</v>
      </c>
    </row>
    <row r="71" customFormat="false" ht="12.75" hidden="false" customHeight="false" outlineLevel="0" collapsed="false">
      <c r="F71" s="43"/>
    </row>
    <row r="73" customFormat="false" ht="12.75" hidden="false" customHeight="false" outlineLevel="0" collapsed="false">
      <c r="F73" s="43"/>
      <c r="G73" s="154"/>
    </row>
    <row r="74" customFormat="false" ht="12.75" hidden="false" customHeight="false" outlineLevel="0" collapsed="false">
      <c r="C74" s="154"/>
      <c r="D74" s="154"/>
      <c r="E74" s="154"/>
      <c r="F74" s="43"/>
    </row>
    <row r="75" customFormat="false" ht="12.75" hidden="false" customHeight="false" outlineLevel="0" collapsed="false">
      <c r="C75" s="154"/>
      <c r="D75" s="154"/>
      <c r="E75" s="154"/>
      <c r="F75" s="43"/>
    </row>
    <row r="76" customFormat="false" ht="12.75" hidden="false" customHeight="false" outlineLevel="0" collapsed="false">
      <c r="A76" s="214" t="s">
        <v>149</v>
      </c>
      <c r="B76" s="5"/>
      <c r="F76" s="43"/>
    </row>
    <row r="77" customFormat="false" ht="12.75" hidden="false" customHeight="false" outlineLevel="0" collapsed="false">
      <c r="A77" s="204" t="s">
        <v>104</v>
      </c>
      <c r="B77" s="212" t="s">
        <v>150</v>
      </c>
      <c r="C77" s="43" t="s">
        <v>151</v>
      </c>
      <c r="D77" s="212" t="s">
        <v>143</v>
      </c>
      <c r="E77" s="43" t="s">
        <v>152</v>
      </c>
      <c r="F77" s="212" t="s">
        <v>144</v>
      </c>
    </row>
    <row r="78" customFormat="false" ht="12.75" hidden="false" customHeight="false" outlineLevel="0" collapsed="false">
      <c r="A78" s="204" t="n">
        <v>1</v>
      </c>
      <c r="B78" s="5" t="n">
        <f aca="false">A12*B12</f>
        <v>85</v>
      </c>
      <c r="C78" s="5" t="n">
        <f aca="false">(12-A28)*B28</f>
        <v>149105</v>
      </c>
      <c r="D78" s="5" t="n">
        <f aca="false">A28*B28</f>
        <v>13555</v>
      </c>
      <c r="E78" s="5" t="n">
        <f aca="false">(12-A47)*B47</f>
        <v>204996</v>
      </c>
      <c r="F78" s="5" t="n">
        <f aca="false">A47*B47</f>
        <v>18636</v>
      </c>
    </row>
    <row r="79" customFormat="false" ht="12.75" hidden="false" customHeight="false" outlineLevel="0" collapsed="false">
      <c r="A79" s="204" t="n">
        <v>2</v>
      </c>
      <c r="B79" s="5" t="n">
        <f aca="false">A13*B13</f>
        <v>190</v>
      </c>
      <c r="C79" s="5" t="n">
        <f aca="false">(12-A29)*B29</f>
        <v>89920</v>
      </c>
      <c r="D79" s="5" t="n">
        <f aca="false">A29*B29</f>
        <v>17984</v>
      </c>
      <c r="E79" s="5" t="n">
        <f aca="false">(12-A48)*B48</f>
        <v>150190</v>
      </c>
      <c r="F79" s="5" t="n">
        <f aca="false">A48*B48</f>
        <v>30038</v>
      </c>
    </row>
    <row r="80" customFormat="false" ht="12.75" hidden="false" customHeight="false" outlineLevel="0" collapsed="false">
      <c r="A80" s="204" t="n">
        <v>3</v>
      </c>
      <c r="B80" s="5" t="n">
        <f aca="false">A14*B14</f>
        <v>420</v>
      </c>
      <c r="C80" s="5" t="n">
        <f aca="false">(12-A30)*B30</f>
        <v>55377</v>
      </c>
      <c r="D80" s="5" t="n">
        <f aca="false">A30*B30</f>
        <v>18459</v>
      </c>
      <c r="E80" s="5" t="n">
        <f aca="false">(12-A49)*B49</f>
        <v>127539</v>
      </c>
      <c r="F80" s="5" t="n">
        <f aca="false">A49*B49</f>
        <v>42513</v>
      </c>
    </row>
    <row r="81" customFormat="false" ht="12.75" hidden="false" customHeight="false" outlineLevel="0" collapsed="false">
      <c r="A81" s="204" t="n">
        <v>4</v>
      </c>
      <c r="B81" s="5" t="n">
        <f aca="false">A15*B15</f>
        <v>548</v>
      </c>
      <c r="C81" s="5" t="n">
        <f aca="false">(12-A31)*B31</f>
        <v>34656</v>
      </c>
      <c r="D81" s="5" t="n">
        <f aca="false">A31*B31</f>
        <v>17328</v>
      </c>
      <c r="E81" s="5" t="n">
        <f aca="false">(12-A50)*B50</f>
        <v>110248</v>
      </c>
      <c r="F81" s="5" t="n">
        <f aca="false">A50*B50</f>
        <v>55124</v>
      </c>
    </row>
    <row r="82" customFormat="false" ht="12.75" hidden="false" customHeight="false" outlineLevel="0" collapsed="false">
      <c r="A82" s="204" t="n">
        <v>5</v>
      </c>
      <c r="B82" s="5" t="n">
        <f aca="false">A16*B16</f>
        <v>840</v>
      </c>
      <c r="C82" s="5" t="n">
        <f aca="false">(12-A32)*B32</f>
        <v>22841</v>
      </c>
      <c r="D82" s="5" t="n">
        <f aca="false">A32*B32</f>
        <v>16315</v>
      </c>
      <c r="E82" s="5" t="n">
        <f aca="false">(12-A51)*B51</f>
        <v>84224</v>
      </c>
      <c r="F82" s="5" t="n">
        <f aca="false">A51*B51</f>
        <v>60160</v>
      </c>
    </row>
    <row r="83" customFormat="false" ht="12.75" hidden="false" customHeight="false" outlineLevel="0" collapsed="false">
      <c r="A83" s="204" t="n">
        <v>6</v>
      </c>
      <c r="B83" s="5" t="n">
        <f aca="false">A17*B17</f>
        <v>1260</v>
      </c>
      <c r="C83" s="5" t="n">
        <f aca="false">(12-A33)*B33</f>
        <v>13920</v>
      </c>
      <c r="D83" s="5" t="n">
        <f aca="false">A33*B33</f>
        <v>13920</v>
      </c>
      <c r="E83" s="5" t="n">
        <f aca="false">(12-A52)*B52</f>
        <v>59658</v>
      </c>
      <c r="F83" s="5" t="n">
        <f aca="false">A52*B52</f>
        <v>59658</v>
      </c>
    </row>
    <row r="84" customFormat="false" ht="12.75" hidden="false" customHeight="false" outlineLevel="0" collapsed="false">
      <c r="A84" s="204" t="n">
        <v>7</v>
      </c>
      <c r="B84" s="5" t="n">
        <f aca="false">A18*B18</f>
        <v>1673</v>
      </c>
      <c r="C84" s="5" t="n">
        <f aca="false">(12-A34)*B34</f>
        <v>7475</v>
      </c>
      <c r="D84" s="5" t="n">
        <f aca="false">A34*B34</f>
        <v>10465</v>
      </c>
      <c r="E84" s="5" t="n">
        <f aca="false">(12-A53)*B53</f>
        <v>38535</v>
      </c>
      <c r="F84" s="5" t="n">
        <f aca="false">A53*B53</f>
        <v>53949</v>
      </c>
    </row>
    <row r="85" customFormat="false" ht="12.75" hidden="false" customHeight="false" outlineLevel="0" collapsed="false">
      <c r="A85" s="204" t="n">
        <v>8</v>
      </c>
      <c r="B85" s="5" t="n">
        <f aca="false">A19*B19</f>
        <v>2304</v>
      </c>
      <c r="C85" s="5" t="n">
        <f aca="false">(12-A35)*B35</f>
        <v>4648</v>
      </c>
      <c r="D85" s="5" t="n">
        <f aca="false">A35*B35</f>
        <v>9296</v>
      </c>
      <c r="E85" s="5" t="n">
        <f aca="false">(12-A54)*B54</f>
        <v>28776</v>
      </c>
      <c r="F85" s="5" t="n">
        <f aca="false">A54*B54</f>
        <v>57552</v>
      </c>
    </row>
    <row r="86" customFormat="false" ht="12.75" hidden="false" customHeight="false" outlineLevel="0" collapsed="false">
      <c r="A86" s="204" t="n">
        <v>9</v>
      </c>
      <c r="B86" s="5" t="n">
        <f aca="false">A20*B20</f>
        <v>3024</v>
      </c>
      <c r="C86" s="5" t="n">
        <f aca="false">(12-A36)*B36</f>
        <v>2544</v>
      </c>
      <c r="D86" s="5" t="n">
        <f aca="false">A36*B36</f>
        <v>7632</v>
      </c>
      <c r="E86" s="5" t="n">
        <f aca="false">(12-A55)*B55</f>
        <v>22035</v>
      </c>
      <c r="F86" s="5" t="n">
        <f aca="false">A55*B55</f>
        <v>66105</v>
      </c>
    </row>
    <row r="87" customFormat="false" ht="12.75" hidden="false" customHeight="false" outlineLevel="0" collapsed="false">
      <c r="A87" s="204" t="n">
        <v>10</v>
      </c>
      <c r="B87" s="5" t="n">
        <f aca="false">A21*B21</f>
        <v>4790</v>
      </c>
      <c r="C87" s="5" t="n">
        <f aca="false">(12-A37)*B37</f>
        <v>1370</v>
      </c>
      <c r="D87" s="5" t="n">
        <f aca="false">A37*B37</f>
        <v>6850</v>
      </c>
      <c r="E87" s="5" t="n">
        <f aca="false">(12-A56)*B56</f>
        <v>16292</v>
      </c>
      <c r="F87" s="5" t="n">
        <f aca="false">A56*B56</f>
        <v>81460</v>
      </c>
    </row>
    <row r="88" customFormat="false" ht="12.75" hidden="false" customHeight="false" outlineLevel="0" collapsed="false">
      <c r="A88" s="204" t="n">
        <v>11</v>
      </c>
      <c r="B88" s="5" t="n">
        <f aca="false">A22*B22</f>
        <v>14069</v>
      </c>
      <c r="C88" s="5" t="n">
        <f aca="false">(12-A38)*B38</f>
        <v>622</v>
      </c>
      <c r="D88" s="5" t="n">
        <f aca="false">A38*B38</f>
        <v>6842</v>
      </c>
      <c r="E88" s="5" t="n">
        <f aca="false">(12-A57)*B57</f>
        <v>11072</v>
      </c>
      <c r="F88" s="5" t="n">
        <f aca="false">A57*B57</f>
        <v>121792</v>
      </c>
    </row>
    <row r="89" customFormat="false" ht="12.75" hidden="false" customHeight="false" outlineLevel="0" collapsed="false">
      <c r="A89" s="204" t="n">
        <v>12</v>
      </c>
      <c r="B89" s="5" t="n">
        <f aca="false">A23*B23</f>
        <v>897168</v>
      </c>
      <c r="C89" s="5" t="n">
        <f aca="false">(12-A39)*B39</f>
        <v>0</v>
      </c>
      <c r="D89" s="5" t="n">
        <f aca="false">A39*B39</f>
        <v>7704</v>
      </c>
      <c r="E89" s="5" t="n">
        <f aca="false">(12-A58)*B58</f>
        <v>0</v>
      </c>
      <c r="F89" s="5" t="n">
        <f aca="false">A58*B58</f>
        <v>455328</v>
      </c>
    </row>
    <row r="90" customFormat="false" ht="12.75" hidden="false" customHeight="false" outlineLevel="0" collapsed="false">
      <c r="B90" s="43" t="n">
        <f aca="false">SUM(B78:B89)</f>
        <v>926371</v>
      </c>
      <c r="C90" s="43" t="n">
        <f aca="false">SUM(C78:C89)</f>
        <v>382478</v>
      </c>
      <c r="D90" s="43" t="n">
        <f aca="false">SUM(D78:D89)</f>
        <v>146350</v>
      </c>
      <c r="E90" s="43" t="n">
        <f aca="false">SUM(E78:E89)</f>
        <v>853565</v>
      </c>
      <c r="F90" s="43" t="n">
        <f aca="false">SUM(F78:F89)</f>
        <v>1102315</v>
      </c>
      <c r="G90" s="43" t="n">
        <f aca="false">SUM(B90:F90)</f>
        <v>3411079</v>
      </c>
    </row>
    <row r="92" customFormat="false" ht="12.75" hidden="false" customHeight="false" outlineLevel="0" collapsed="false">
      <c r="A92" s="204" t="s">
        <v>153</v>
      </c>
      <c r="B92" s="43" t="n">
        <f aca="false">B90+C90</f>
        <v>1308849</v>
      </c>
      <c r="C92" s="130" t="n">
        <f aca="false">B92/B$95</f>
        <v>0.383705273316742</v>
      </c>
    </row>
    <row r="93" customFormat="false" ht="12.75" hidden="false" customHeight="false" outlineLevel="0" collapsed="false">
      <c r="A93" s="204" t="s">
        <v>154</v>
      </c>
      <c r="B93" s="43" t="n">
        <f aca="false">D90+E90</f>
        <v>999915</v>
      </c>
      <c r="C93" s="130" t="n">
        <f aca="false">B93/B$95</f>
        <v>0.293137450056126</v>
      </c>
    </row>
    <row r="94" customFormat="false" ht="12.75" hidden="false" customHeight="false" outlineLevel="0" collapsed="false">
      <c r="A94" s="204" t="s">
        <v>155</v>
      </c>
      <c r="B94" s="43" t="n">
        <f aca="false">F90</f>
        <v>1102315</v>
      </c>
      <c r="C94" s="130" t="n">
        <f aca="false">B94/B$95</f>
        <v>0.323157276627132</v>
      </c>
    </row>
    <row r="95" customFormat="false" ht="12.75" hidden="false" customHeight="false" outlineLevel="0" collapsed="false">
      <c r="B95" s="43" t="n">
        <f aca="false">G90</f>
        <v>3411079</v>
      </c>
    </row>
    <row r="97" customFormat="false" ht="12.75" hidden="false" customHeight="false" outlineLevel="0" collapsed="false">
      <c r="I97" s="204"/>
    </row>
    <row r="98" customFormat="false" ht="12.75" hidden="false" customHeight="false" outlineLevel="0" collapsed="false">
      <c r="G98" s="204" t="s">
        <v>7</v>
      </c>
      <c r="H98" s="204"/>
      <c r="I98" s="204"/>
      <c r="J98" s="0"/>
      <c r="K98" s="0"/>
    </row>
    <row r="99" customFormat="false" ht="12.75" hidden="false" customHeight="false" outlineLevel="0" collapsed="false">
      <c r="A99" s="216"/>
      <c r="B99" s="217" t="s">
        <v>14</v>
      </c>
      <c r="C99" s="77" t="s">
        <v>43</v>
      </c>
      <c r="D99" s="77" t="s">
        <v>156</v>
      </c>
      <c r="E99" s="77" t="s">
        <v>45</v>
      </c>
      <c r="F99" s="77" t="s">
        <v>88</v>
      </c>
      <c r="G99" s="204" t="s">
        <v>14</v>
      </c>
      <c r="H99" s="204"/>
      <c r="I99" s="204"/>
      <c r="J99" s="0"/>
      <c r="K99" s="0"/>
    </row>
    <row r="100" customFormat="false" ht="12.75" hidden="false" customHeight="false" outlineLevel="0" collapsed="false">
      <c r="A100" s="204" t="s">
        <v>157</v>
      </c>
      <c r="B100" s="43" t="n">
        <f aca="false">B24+B40</f>
        <v>122289</v>
      </c>
      <c r="C100" s="43" t="n">
        <f aca="false">C24+C40</f>
        <v>520000580</v>
      </c>
      <c r="D100" s="43" t="n">
        <f aca="false">D24+D40</f>
        <v>12183365</v>
      </c>
      <c r="E100" s="43" t="n">
        <v>0</v>
      </c>
      <c r="F100" s="43" t="n">
        <f aca="false">SUM(C100:E100)</f>
        <v>532183945</v>
      </c>
      <c r="G100" s="154" t="n">
        <f aca="false">B100/B$105</f>
        <v>0.428664570473116</v>
      </c>
      <c r="J100" s="0"/>
      <c r="K100" s="0"/>
    </row>
    <row r="101" customFormat="false" ht="12.75" hidden="false" customHeight="false" outlineLevel="0" collapsed="false">
      <c r="A101" s="204" t="s">
        <v>158</v>
      </c>
      <c r="B101" s="43" t="n">
        <f aca="false">B47+B48+B49</f>
        <v>47826</v>
      </c>
      <c r="C101" s="43" t="n">
        <f aca="false">C47+C48+C49</f>
        <v>255179548</v>
      </c>
      <c r="D101" s="43" t="n">
        <f aca="false">D47+D48+D49</f>
        <v>29197060</v>
      </c>
      <c r="E101" s="43" t="n">
        <f aca="false">E47+E48+E49</f>
        <v>13305756</v>
      </c>
      <c r="F101" s="43" t="n">
        <f aca="false">SUM(C101:E101)</f>
        <v>297682364</v>
      </c>
      <c r="G101" s="154" t="n">
        <f aca="false">B101/B$105</f>
        <v>0.167646409304576</v>
      </c>
      <c r="H101" s="130"/>
      <c r="I101" s="130"/>
      <c r="J101" s="0"/>
      <c r="K101" s="0"/>
    </row>
    <row r="102" customFormat="false" ht="12.75" hidden="false" customHeight="false" outlineLevel="0" collapsed="false">
      <c r="A102" s="204" t="s">
        <v>159</v>
      </c>
      <c r="B102" s="43" t="n">
        <f aca="false">B50+B51+B52+B53</f>
        <v>43463</v>
      </c>
      <c r="C102" s="43" t="n">
        <f aca="false">C50+C51+C52+C53</f>
        <v>250252037</v>
      </c>
      <c r="D102" s="43" t="n">
        <f aca="false">D50+D51+D52+D53</f>
        <v>48217807</v>
      </c>
      <c r="E102" s="43" t="n">
        <f aca="false">E50+E51+E52+E53</f>
        <v>51396941</v>
      </c>
      <c r="F102" s="43" t="n">
        <f aca="false">SUM(C102:E102)</f>
        <v>349866785</v>
      </c>
      <c r="G102" s="154" t="n">
        <f aca="false">B102/B$105</f>
        <v>0.152352609200116</v>
      </c>
      <c r="H102" s="130"/>
      <c r="I102" s="130"/>
      <c r="J102" s="0"/>
      <c r="K102" s="0"/>
    </row>
    <row r="103" customFormat="false" ht="12.75" hidden="false" customHeight="false" outlineLevel="0" collapsed="false">
      <c r="A103" s="204" t="s">
        <v>160</v>
      </c>
      <c r="B103" s="43" t="n">
        <f aca="false">B54+B55+B56+B57</f>
        <v>33757</v>
      </c>
      <c r="C103" s="43" t="n">
        <f aca="false">C54+C55+C56+C57</f>
        <v>192630368</v>
      </c>
      <c r="D103" s="43" t="n">
        <f aca="false">D54+D55+D56+D57</f>
        <v>53200702</v>
      </c>
      <c r="E103" s="43" t="n">
        <f aca="false">E54+E55+E56+E57</f>
        <v>85908981</v>
      </c>
      <c r="F103" s="43" t="n">
        <f aca="false">SUM(C103:E103)</f>
        <v>331740051</v>
      </c>
      <c r="G103" s="154" t="n">
        <f aca="false">B103/B$105</f>
        <v>0.118329775412841</v>
      </c>
      <c r="H103" s="130"/>
      <c r="I103" s="130"/>
      <c r="J103" s="0"/>
      <c r="K103" s="0"/>
    </row>
    <row r="104" customFormat="false" ht="12.75" hidden="false" customHeight="false" outlineLevel="0" collapsed="false">
      <c r="A104" s="164" t="s">
        <v>161</v>
      </c>
      <c r="B104" s="169" t="n">
        <f aca="false">B58</f>
        <v>37944</v>
      </c>
      <c r="C104" s="169" t="n">
        <f aca="false">C58</f>
        <v>189632198</v>
      </c>
      <c r="D104" s="169" t="n">
        <f aca="false">D58</f>
        <v>56897563</v>
      </c>
      <c r="E104" s="169" t="n">
        <f aca="false">E58</f>
        <v>188389237</v>
      </c>
      <c r="F104" s="169" t="n">
        <f aca="false">SUM(C104:E104)</f>
        <v>434918998</v>
      </c>
      <c r="G104" s="155" t="n">
        <f aca="false">B104/B$105</f>
        <v>0.133006635609351</v>
      </c>
      <c r="H104" s="218"/>
      <c r="I104" s="219"/>
      <c r="J104" s="0"/>
      <c r="K104" s="0"/>
    </row>
    <row r="105" customFormat="false" ht="12.75" hidden="false" customHeight="false" outlineLevel="0" collapsed="false">
      <c r="A105" s="204" t="s">
        <v>88</v>
      </c>
      <c r="B105" s="43" t="n">
        <f aca="false">SUM(B100:B104)</f>
        <v>285279</v>
      </c>
      <c r="C105" s="43" t="n">
        <f aca="false">SUM(C100:C104)</f>
        <v>1407694731</v>
      </c>
      <c r="D105" s="43" t="n">
        <f aca="false">SUM(D100:D104)</f>
        <v>199696497</v>
      </c>
      <c r="E105" s="43" t="n">
        <f aca="false">SUM(E100:E104)</f>
        <v>339000915</v>
      </c>
      <c r="F105" s="43" t="n">
        <f aca="false">SUM(F100:F104)</f>
        <v>1946392143</v>
      </c>
      <c r="G105" s="154" t="n">
        <f aca="false">B105/B$105</f>
        <v>1</v>
      </c>
      <c r="H105" s="130"/>
      <c r="I105" s="130"/>
      <c r="J105" s="0"/>
      <c r="K105" s="0"/>
    </row>
  </sheetData>
  <mergeCells count="1">
    <mergeCell ref="A1:E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&amp;CPacific Gas and Electric Company
Rate Design Workpapers
3 Cent Surcharge</oddHeader>
    <oddFooter>&amp;L&amp;D  &amp;T&amp;R&amp;F 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19"/>
  <sheetViews>
    <sheetView showFormulas="false" showGridLines="true" showRowColHeaders="true" showZeros="true" rightToLeft="false" tabSelected="false" showOutlineSymbols="true" defaultGridColor="true" view="normal" topLeftCell="A89" colorId="64" zoomScale="100" zoomScaleNormal="100" zoomScalePageLayoutView="100" workbookViewId="0">
      <selection pane="topLeft" activeCell="G91" activeCellId="0" sqref="G9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4" width="13.7"/>
    <col collapsed="false" customWidth="true" hidden="false" outlineLevel="0" max="2" min="2" style="43" width="10.13"/>
    <col collapsed="false" customWidth="true" hidden="false" outlineLevel="0" max="3" min="3" style="43" width="13.7"/>
    <col collapsed="false" customWidth="true" hidden="false" outlineLevel="0" max="4" min="4" style="43" width="12.7"/>
    <col collapsed="false" customWidth="true" hidden="false" outlineLevel="0" max="5" min="5" style="43" width="14.7"/>
    <col collapsed="false" customWidth="true" hidden="false" outlineLevel="0" max="6" min="6" style="5" width="13.85"/>
    <col collapsed="false" customWidth="true" hidden="false" outlineLevel="0" max="7" min="7" style="5" width="10.71"/>
    <col collapsed="false" customWidth="true" hidden="false" outlineLevel="0" max="8" min="8" style="5" width="11.42"/>
    <col collapsed="false" customWidth="true" hidden="false" outlineLevel="0" max="9" min="9" style="5" width="14.56"/>
    <col collapsed="false" customWidth="true" hidden="false" outlineLevel="0" max="11" min="10" style="5" width="11.7"/>
  </cols>
  <sheetData>
    <row r="1" customFormat="false" ht="12.75" hidden="false" customHeight="false" outlineLevel="0" collapsed="false">
      <c r="A1" s="4" t="s">
        <v>133</v>
      </c>
      <c r="B1" s="4"/>
      <c r="C1" s="4"/>
      <c r="D1" s="4"/>
      <c r="E1" s="4"/>
    </row>
    <row r="2" customFormat="false" ht="12.75" hidden="false" customHeight="false" outlineLevel="0" collapsed="false">
      <c r="A2" s="9"/>
      <c r="B2" s="195"/>
      <c r="C2" s="205" t="s">
        <v>134</v>
      </c>
      <c r="D2" s="205" t="s">
        <v>106</v>
      </c>
      <c r="E2" s="205" t="s">
        <v>135</v>
      </c>
      <c r="F2" s="47"/>
    </row>
    <row r="3" customFormat="false" ht="12.75" hidden="false" customHeight="false" outlineLevel="0" collapsed="false">
      <c r="A3" s="142"/>
      <c r="B3" s="165"/>
      <c r="C3" s="206" t="s">
        <v>43</v>
      </c>
      <c r="D3" s="206" t="s">
        <v>44</v>
      </c>
      <c r="E3" s="206" t="s">
        <v>45</v>
      </c>
      <c r="F3" s="48" t="s">
        <v>88</v>
      </c>
    </row>
    <row r="4" customFormat="false" ht="12.75" hidden="false" customHeight="false" outlineLevel="0" collapsed="false">
      <c r="A4" s="49" t="s">
        <v>136</v>
      </c>
      <c r="B4" s="207" t="s">
        <v>14</v>
      </c>
      <c r="C4" s="208" t="n">
        <f aca="false">C70</f>
        <v>0.557052077647347</v>
      </c>
      <c r="D4" s="208" t="n">
        <f aca="false">D70</f>
        <v>0.107704796148075</v>
      </c>
      <c r="E4" s="208" t="n">
        <f aca="false">E70</f>
        <v>0.335243126204578</v>
      </c>
      <c r="F4" s="190" t="n">
        <f aca="false">SUM(C4:E4)</f>
        <v>1</v>
      </c>
    </row>
    <row r="5" customFormat="false" ht="12.75" hidden="false" customHeight="false" outlineLevel="0" collapsed="false">
      <c r="A5" s="13" t="s">
        <v>137</v>
      </c>
      <c r="B5" s="22" t="n">
        <f aca="false">B24</f>
        <v>688603</v>
      </c>
      <c r="C5" s="22" t="n">
        <f aca="false">C24</f>
        <v>1598427576</v>
      </c>
      <c r="D5" s="154"/>
      <c r="E5" s="22"/>
      <c r="F5" s="91" t="n">
        <f aca="false">SUM(B5:E5)</f>
        <v>1599116179</v>
      </c>
    </row>
    <row r="6" customFormat="false" ht="12.75" hidden="false" customHeight="false" outlineLevel="0" collapsed="false">
      <c r="A6" s="13" t="s">
        <v>138</v>
      </c>
      <c r="B6" s="27" t="n">
        <f aca="false">B40</f>
        <v>433323</v>
      </c>
      <c r="C6" s="27" t="n">
        <f aca="false">C40</f>
        <v>1608506525</v>
      </c>
      <c r="D6" s="27" t="n">
        <f aca="false">D40</f>
        <v>63519513</v>
      </c>
      <c r="E6" s="22"/>
      <c r="F6" s="91" t="n">
        <f aca="false">SUM(B6:E6)</f>
        <v>1672459361</v>
      </c>
      <c r="G6" s="43"/>
    </row>
    <row r="7" customFormat="false" ht="12.75" hidden="false" customHeight="false" outlineLevel="0" collapsed="false">
      <c r="A7" s="17" t="s">
        <v>92</v>
      </c>
      <c r="B7" s="30" t="n">
        <f aca="false">B59</f>
        <v>2667041</v>
      </c>
      <c r="C7" s="30" t="n">
        <f aca="false">C59</f>
        <v>11506879179</v>
      </c>
      <c r="D7" s="30" t="n">
        <f aca="false">D59</f>
        <v>2781363979</v>
      </c>
      <c r="E7" s="30" t="n">
        <f aca="false">E59</f>
        <v>8855015465</v>
      </c>
      <c r="F7" s="92" t="n">
        <f aca="false">SUM(B7:E7)</f>
        <v>23145925664</v>
      </c>
    </row>
    <row r="8" customFormat="false" ht="12.75" hidden="false" customHeight="false" outlineLevel="0" collapsed="false">
      <c r="A8" s="53" t="s">
        <v>88</v>
      </c>
      <c r="B8" s="38" t="n">
        <f aca="false">SUM(B5:B7)</f>
        <v>3788967</v>
      </c>
      <c r="C8" s="38" t="n">
        <f aca="false">SUM(C5:C7)</f>
        <v>14713813280</v>
      </c>
      <c r="D8" s="38" t="n">
        <f aca="false">SUM(D5:D7)</f>
        <v>2844883492</v>
      </c>
      <c r="E8" s="38" t="n">
        <f aca="false">SUM(E5:E7)</f>
        <v>8855015465</v>
      </c>
      <c r="F8" s="93" t="n">
        <f aca="false">SUM(F5:F7)</f>
        <v>26417501204</v>
      </c>
    </row>
    <row r="9" customFormat="false" ht="12.75" hidden="false" customHeight="false" outlineLevel="0" collapsed="false">
      <c r="A9" s="209"/>
    </row>
    <row r="10" customFormat="false" ht="12.75" hidden="false" customHeight="false" outlineLevel="0" collapsed="false">
      <c r="A10" s="210" t="s">
        <v>139</v>
      </c>
      <c r="C10" s="211" t="s">
        <v>134</v>
      </c>
      <c r="D10" s="211" t="s">
        <v>106</v>
      </c>
      <c r="E10" s="211" t="s">
        <v>135</v>
      </c>
      <c r="G10" s="5" t="s">
        <v>140</v>
      </c>
      <c r="H10" s="5" t="s">
        <v>140</v>
      </c>
    </row>
    <row r="11" customFormat="false" ht="12.75" hidden="false" customHeight="false" outlineLevel="0" collapsed="false">
      <c r="A11" s="212" t="s">
        <v>141</v>
      </c>
      <c r="B11" s="213" t="s">
        <v>110</v>
      </c>
      <c r="C11" s="213" t="s">
        <v>126</v>
      </c>
      <c r="D11" s="214"/>
      <c r="E11" s="214"/>
      <c r="F11" s="214" t="s">
        <v>63</v>
      </c>
      <c r="G11" s="214" t="s">
        <v>14</v>
      </c>
      <c r="H11" s="214" t="s">
        <v>142</v>
      </c>
      <c r="I11" s="214"/>
      <c r="J11" s="214"/>
      <c r="K11" s="214"/>
    </row>
    <row r="12" customFormat="false" ht="12.75" hidden="false" customHeight="false" outlineLevel="0" collapsed="false">
      <c r="A12" s="204" t="n">
        <v>1</v>
      </c>
      <c r="B12" s="0" t="n">
        <v>4335</v>
      </c>
      <c r="C12" s="0" t="n">
        <v>441218</v>
      </c>
    </row>
    <row r="13" customFormat="false" ht="12.75" hidden="false" customHeight="false" outlineLevel="0" collapsed="false">
      <c r="A13" s="204" t="n">
        <v>2</v>
      </c>
      <c r="B13" s="0" t="n">
        <v>3736</v>
      </c>
      <c r="C13" s="0" t="n">
        <v>831958</v>
      </c>
    </row>
    <row r="14" customFormat="false" ht="12.75" hidden="false" customHeight="false" outlineLevel="0" collapsed="false">
      <c r="A14" s="204" t="n">
        <v>3</v>
      </c>
      <c r="B14" s="0" t="n">
        <v>3314</v>
      </c>
      <c r="C14" s="0" t="n">
        <v>1268748</v>
      </c>
    </row>
    <row r="15" customFormat="false" ht="12.75" hidden="false" customHeight="false" outlineLevel="0" collapsed="false">
      <c r="A15" s="204" t="n">
        <v>4</v>
      </c>
      <c r="B15" s="0" t="n">
        <v>2547</v>
      </c>
      <c r="C15" s="0" t="n">
        <v>1329942</v>
      </c>
    </row>
    <row r="16" customFormat="false" ht="12.75" hidden="false" customHeight="false" outlineLevel="0" collapsed="false">
      <c r="A16" s="204" t="n">
        <v>5</v>
      </c>
      <c r="B16" s="0" t="n">
        <v>2185</v>
      </c>
      <c r="C16" s="0" t="n">
        <v>1645813</v>
      </c>
    </row>
    <row r="17" customFormat="false" ht="12.75" hidden="false" customHeight="false" outlineLevel="0" collapsed="false">
      <c r="A17" s="204" t="n">
        <v>6</v>
      </c>
      <c r="B17" s="0" t="n">
        <v>2355</v>
      </c>
      <c r="C17" s="0" t="n">
        <v>2138020</v>
      </c>
    </row>
    <row r="18" customFormat="false" ht="12.75" hidden="false" customHeight="false" outlineLevel="0" collapsed="false">
      <c r="A18" s="204" t="n">
        <v>7</v>
      </c>
      <c r="B18" s="0" t="n">
        <v>2346</v>
      </c>
      <c r="C18" s="0" t="n">
        <v>2754289</v>
      </c>
    </row>
    <row r="19" customFormat="false" ht="12.75" hidden="false" customHeight="false" outlineLevel="0" collapsed="false">
      <c r="A19" s="204" t="n">
        <v>8</v>
      </c>
      <c r="B19" s="0" t="n">
        <v>2464</v>
      </c>
      <c r="C19" s="0" t="n">
        <v>3458013</v>
      </c>
    </row>
    <row r="20" customFormat="false" ht="12.75" hidden="false" customHeight="false" outlineLevel="0" collapsed="false">
      <c r="A20" s="204" t="n">
        <v>9</v>
      </c>
      <c r="B20" s="0" t="n">
        <v>2842</v>
      </c>
      <c r="C20" s="0" t="n">
        <v>4302288</v>
      </c>
    </row>
    <row r="21" customFormat="false" ht="12.75" hidden="false" customHeight="false" outlineLevel="0" collapsed="false">
      <c r="A21" s="204" t="n">
        <v>10</v>
      </c>
      <c r="B21" s="0" t="n">
        <v>4049</v>
      </c>
      <c r="C21" s="0" t="n">
        <v>7199403</v>
      </c>
    </row>
    <row r="22" customFormat="false" ht="12.75" hidden="false" customHeight="false" outlineLevel="0" collapsed="false">
      <c r="A22" s="204" t="n">
        <v>11</v>
      </c>
      <c r="B22" s="0" t="n">
        <v>10330</v>
      </c>
      <c r="C22" s="0" t="n">
        <v>21451150</v>
      </c>
    </row>
    <row r="23" customFormat="false" ht="12.75" hidden="false" customHeight="false" outlineLevel="0" collapsed="false">
      <c r="A23" s="204" t="n">
        <v>12</v>
      </c>
      <c r="B23" s="0" t="n">
        <v>648100</v>
      </c>
      <c r="C23" s="0" t="n">
        <v>1551606734</v>
      </c>
      <c r="H23" s="215"/>
    </row>
    <row r="24" customFormat="false" ht="12.75" hidden="false" customHeight="false" outlineLevel="0" collapsed="false">
      <c r="B24" s="43" t="n">
        <f aca="false">SUM(B12:B23)</f>
        <v>688603</v>
      </c>
      <c r="C24" s="43" t="n">
        <f aca="false">SUM(C12:C23)</f>
        <v>1598427576</v>
      </c>
      <c r="D24" s="5"/>
      <c r="E24" s="5"/>
      <c r="F24" s="43" t="n">
        <f aca="false">SUM(C24:E24)</f>
        <v>1598427576</v>
      </c>
      <c r="G24" s="154" t="n">
        <f aca="false">B24/B$69</f>
        <v>0.18173898057175</v>
      </c>
      <c r="H24" s="130" t="n">
        <f aca="false">F24/F$69</f>
        <v>0.0605150673884053</v>
      </c>
    </row>
    <row r="25" customFormat="false" ht="12.75" hidden="false" customHeight="false" outlineLevel="0" collapsed="false">
      <c r="D25" s="5"/>
      <c r="E25" s="5"/>
    </row>
    <row r="26" customFormat="false" ht="12.75" hidden="false" customHeight="false" outlineLevel="0" collapsed="false">
      <c r="A26" s="210" t="s">
        <v>139</v>
      </c>
      <c r="C26" s="211" t="s">
        <v>134</v>
      </c>
      <c r="D26" s="211" t="s">
        <v>106</v>
      </c>
      <c r="E26" s="211" t="s">
        <v>135</v>
      </c>
    </row>
    <row r="27" customFormat="false" ht="12.75" hidden="false" customHeight="false" outlineLevel="0" collapsed="false">
      <c r="A27" s="212" t="s">
        <v>143</v>
      </c>
      <c r="B27" s="213" t="s">
        <v>110</v>
      </c>
      <c r="C27" s="213" t="s">
        <v>126</v>
      </c>
      <c r="D27" s="213" t="s">
        <v>127</v>
      </c>
      <c r="F27" s="214" t="s">
        <v>88</v>
      </c>
      <c r="G27" s="214"/>
      <c r="H27" s="214"/>
      <c r="I27" s="214"/>
      <c r="J27" s="214"/>
      <c r="K27" s="214"/>
    </row>
    <row r="28" customFormat="false" ht="12.75" hidden="false" customHeight="false" outlineLevel="0" collapsed="false">
      <c r="A28" s="204" t="n">
        <v>1</v>
      </c>
      <c r="B28" s="0" t="n">
        <v>124894</v>
      </c>
      <c r="C28" s="0" t="n">
        <v>407382134</v>
      </c>
      <c r="D28" s="0" t="n">
        <v>4434147</v>
      </c>
      <c r="F28" s="43" t="n">
        <f aca="false">SUM(C28:D28)</f>
        <v>411816281</v>
      </c>
      <c r="I28" s="154" t="n">
        <f aca="false">D28/F28</f>
        <v>0.0107672940691726</v>
      </c>
    </row>
    <row r="29" customFormat="false" ht="12.75" hidden="false" customHeight="false" outlineLevel="0" collapsed="false">
      <c r="A29" s="204" t="n">
        <v>2</v>
      </c>
      <c r="B29" s="0" t="n">
        <v>79848</v>
      </c>
      <c r="C29" s="0" t="n">
        <v>287890095</v>
      </c>
      <c r="D29" s="0" t="n">
        <v>6258755</v>
      </c>
      <c r="F29" s="43" t="n">
        <f aca="false">SUM(C29:D29)</f>
        <v>294148850</v>
      </c>
      <c r="I29" s="154" t="n">
        <f aca="false">D29/F29</f>
        <v>0.0212775096689992</v>
      </c>
    </row>
    <row r="30" customFormat="false" ht="12.75" hidden="false" customHeight="false" outlineLevel="0" collapsed="false">
      <c r="A30" s="204" t="n">
        <v>3</v>
      </c>
      <c r="B30" s="0" t="n">
        <v>57172</v>
      </c>
      <c r="C30" s="0" t="n">
        <v>217963569</v>
      </c>
      <c r="D30" s="0" t="n">
        <v>6891423</v>
      </c>
      <c r="F30" s="43" t="n">
        <f aca="false">SUM(C30:D30)</f>
        <v>224854992</v>
      </c>
      <c r="I30" s="154" t="n">
        <f aca="false">D30/F30</f>
        <v>0.0306482988823304</v>
      </c>
    </row>
    <row r="31" customFormat="false" ht="12.75" hidden="false" customHeight="false" outlineLevel="0" collapsed="false">
      <c r="A31" s="204" t="n">
        <v>4</v>
      </c>
      <c r="B31" s="0" t="n">
        <v>43616</v>
      </c>
      <c r="C31" s="0" t="n">
        <v>171567065</v>
      </c>
      <c r="D31" s="0" t="n">
        <v>6929882</v>
      </c>
      <c r="F31" s="43" t="n">
        <f aca="false">SUM(C31:D31)</f>
        <v>178496947</v>
      </c>
      <c r="I31" s="154" t="n">
        <f aca="false">D31/F31</f>
        <v>0.0388235323711167</v>
      </c>
    </row>
    <row r="32" customFormat="false" ht="12.75" hidden="false" customHeight="false" outlineLevel="0" collapsed="false">
      <c r="A32" s="204" t="n">
        <v>5</v>
      </c>
      <c r="B32" s="0" t="n">
        <v>34186</v>
      </c>
      <c r="C32" s="0" t="n">
        <v>139114176</v>
      </c>
      <c r="D32" s="0" t="n">
        <v>6822571</v>
      </c>
      <c r="F32" s="43" t="n">
        <f aca="false">SUM(C32:D32)</f>
        <v>145936747</v>
      </c>
      <c r="I32" s="154" t="n">
        <f aca="false">D32/F32</f>
        <v>0.0467501923967101</v>
      </c>
    </row>
    <row r="33" customFormat="false" ht="12.75" hidden="false" customHeight="false" outlineLevel="0" collapsed="false">
      <c r="A33" s="204" t="n">
        <v>6</v>
      </c>
      <c r="B33" s="0" t="n">
        <v>25598</v>
      </c>
      <c r="C33" s="0" t="n">
        <v>107575910</v>
      </c>
      <c r="D33" s="0" t="n">
        <v>6301909</v>
      </c>
      <c r="F33" s="43" t="n">
        <f aca="false">SUM(C33:D33)</f>
        <v>113877819</v>
      </c>
      <c r="I33" s="154" t="n">
        <f aca="false">D33/F33</f>
        <v>0.0553392140395664</v>
      </c>
    </row>
    <row r="34" customFormat="false" ht="12.75" hidden="false" customHeight="false" outlineLevel="0" collapsed="false">
      <c r="A34" s="204" t="n">
        <v>7</v>
      </c>
      <c r="B34" s="0" t="n">
        <v>17263</v>
      </c>
      <c r="C34" s="0" t="n">
        <v>69791416</v>
      </c>
      <c r="D34" s="0" t="n">
        <v>4669537</v>
      </c>
      <c r="F34" s="43" t="n">
        <f aca="false">SUM(C34:D34)</f>
        <v>74460953</v>
      </c>
      <c r="I34" s="154" t="n">
        <f aca="false">D34/F34</f>
        <v>0.0627112172469778</v>
      </c>
    </row>
    <row r="35" customFormat="false" ht="12.75" hidden="false" customHeight="false" outlineLevel="0" collapsed="false">
      <c r="A35" s="204" t="n">
        <v>8</v>
      </c>
      <c r="B35" s="0" t="n">
        <v>13460</v>
      </c>
      <c r="C35" s="0" t="n">
        <v>52835230</v>
      </c>
      <c r="D35" s="0" t="n">
        <v>4073486</v>
      </c>
      <c r="F35" s="43" t="n">
        <f aca="false">SUM(C35:D35)</f>
        <v>56908716</v>
      </c>
      <c r="I35" s="154" t="n">
        <f aca="false">D35/F35</f>
        <v>0.0715792990303981</v>
      </c>
    </row>
    <row r="36" customFormat="false" ht="12.75" hidden="false" customHeight="false" outlineLevel="0" collapsed="false">
      <c r="A36" s="204" t="n">
        <v>9</v>
      </c>
      <c r="B36" s="0" t="n">
        <v>11135</v>
      </c>
      <c r="C36" s="0" t="n">
        <v>44358544</v>
      </c>
      <c r="D36" s="0" t="n">
        <v>3894378</v>
      </c>
      <c r="F36" s="43" t="n">
        <f aca="false">SUM(C36:D36)</f>
        <v>48252922</v>
      </c>
      <c r="I36" s="154" t="n">
        <f aca="false">D36/F36</f>
        <v>0.0807076097899315</v>
      </c>
    </row>
    <row r="37" customFormat="false" ht="12.75" hidden="false" customHeight="false" outlineLevel="0" collapsed="false">
      <c r="A37" s="204" t="n">
        <v>10</v>
      </c>
      <c r="B37" s="0" t="n">
        <v>9430</v>
      </c>
      <c r="C37" s="0" t="n">
        <v>39713508</v>
      </c>
      <c r="D37" s="0" t="n">
        <v>3994276</v>
      </c>
      <c r="F37" s="43" t="n">
        <f aca="false">SUM(C37:D37)</f>
        <v>43707784</v>
      </c>
      <c r="I37" s="154" t="n">
        <f aca="false">D37/F37</f>
        <v>0.0913859188102513</v>
      </c>
    </row>
    <row r="38" customFormat="false" ht="12.75" hidden="false" customHeight="false" outlineLevel="0" collapsed="false">
      <c r="A38" s="204" t="n">
        <v>11</v>
      </c>
      <c r="B38" s="0" t="n">
        <v>8253</v>
      </c>
      <c r="C38" s="0" t="n">
        <v>33129568</v>
      </c>
      <c r="D38" s="0" t="n">
        <v>3876223</v>
      </c>
      <c r="F38" s="43" t="n">
        <f aca="false">SUM(C38:D38)</f>
        <v>37005791</v>
      </c>
      <c r="I38" s="154" t="n">
        <f aca="false">D38/F38</f>
        <v>0.104746389558326</v>
      </c>
    </row>
    <row r="39" customFormat="false" ht="12.75" hidden="false" customHeight="false" outlineLevel="0" collapsed="false">
      <c r="A39" s="204" t="n">
        <v>12</v>
      </c>
      <c r="B39" s="0" t="n">
        <v>8468</v>
      </c>
      <c r="C39" s="0" t="n">
        <v>37185310</v>
      </c>
      <c r="D39" s="0" t="n">
        <v>5372926</v>
      </c>
      <c r="F39" s="43" t="n">
        <f aca="false">SUM(C39:D39)</f>
        <v>42558236</v>
      </c>
      <c r="I39" s="154" t="n">
        <f aca="false">D39/F39</f>
        <v>0.126248794710382</v>
      </c>
    </row>
    <row r="40" customFormat="false" ht="12.75" hidden="false" customHeight="false" outlineLevel="0" collapsed="false">
      <c r="B40" s="43" t="n">
        <f aca="false">SUM(B28:B39)</f>
        <v>433323</v>
      </c>
      <c r="C40" s="43" t="n">
        <f aca="false">SUM(C28:C39)</f>
        <v>1608506525</v>
      </c>
      <c r="D40" s="43" t="n">
        <f aca="false">SUM(D28:D39)</f>
        <v>63519513</v>
      </c>
      <c r="F40" s="43" t="n">
        <f aca="false">SUM(F28:F39)</f>
        <v>1672026038</v>
      </c>
      <c r="G40" s="154" t="n">
        <f aca="false">B40/B$69</f>
        <v>0.11436441647552</v>
      </c>
      <c r="H40" s="130" t="n">
        <f aca="false">F40/F$69</f>
        <v>0.0633014406682998</v>
      </c>
    </row>
    <row r="41" customFormat="false" ht="12.75" hidden="false" customHeight="false" outlineLevel="0" collapsed="false">
      <c r="C41" s="154" t="n">
        <f aca="false">C40/$F40</f>
        <v>0.962010452255888</v>
      </c>
      <c r="D41" s="154" t="n">
        <f aca="false">D40/$F40</f>
        <v>0.0379895477441124</v>
      </c>
      <c r="E41" s="154"/>
    </row>
    <row r="42" customFormat="false" ht="12.75" hidden="false" customHeight="false" outlineLevel="0" collapsed="false">
      <c r="B42" s="43" t="n">
        <f aca="false">B24+B40</f>
        <v>1121926</v>
      </c>
      <c r="C42" s="43" t="n">
        <f aca="false">C24+C40</f>
        <v>3206934101</v>
      </c>
      <c r="D42" s="43" t="n">
        <f aca="false">D24+D40</f>
        <v>63519513</v>
      </c>
      <c r="F42" s="43"/>
      <c r="G42" s="154"/>
    </row>
    <row r="43" customFormat="false" ht="12.75" hidden="false" customHeight="false" outlineLevel="0" collapsed="false">
      <c r="D43" s="154"/>
      <c r="E43" s="154"/>
      <c r="G43" s="154"/>
    </row>
    <row r="44" customFormat="false" ht="12.75" hidden="false" customHeight="false" outlineLevel="0" collapsed="false">
      <c r="A44" s="210" t="s">
        <v>139</v>
      </c>
      <c r="C44" s="211" t="s">
        <v>134</v>
      </c>
      <c r="D44" s="211" t="s">
        <v>106</v>
      </c>
      <c r="E44" s="211" t="s">
        <v>135</v>
      </c>
    </row>
    <row r="45" customFormat="false" ht="12.75" hidden="false" customHeight="false" outlineLevel="0" collapsed="false">
      <c r="A45" s="212" t="s">
        <v>144</v>
      </c>
      <c r="B45" s="213" t="s">
        <v>110</v>
      </c>
      <c r="C45" s="213" t="s">
        <v>126</v>
      </c>
      <c r="D45" s="213" t="s">
        <v>127</v>
      </c>
      <c r="E45" s="213" t="s">
        <v>128</v>
      </c>
      <c r="F45" s="214"/>
      <c r="G45" s="214"/>
      <c r="H45" s="214"/>
      <c r="I45" s="214"/>
      <c r="J45" s="214"/>
      <c r="K45" s="214"/>
    </row>
    <row r="47" customFormat="false" ht="12.75" hidden="false" customHeight="false" outlineLevel="0" collapsed="false">
      <c r="A47" s="204" t="n">
        <v>1</v>
      </c>
      <c r="B47" s="0" t="n">
        <v>191990</v>
      </c>
      <c r="C47" s="0" t="n">
        <v>723811798</v>
      </c>
      <c r="D47" s="0" t="n">
        <v>61642358</v>
      </c>
      <c r="E47" s="0" t="n">
        <v>18462905</v>
      </c>
      <c r="F47" s="43" t="n">
        <f aca="false">SUM(C47:E47)</f>
        <v>803917061</v>
      </c>
      <c r="I47" s="154" t="n">
        <f aca="false">E47/F47</f>
        <v>0.0229661813334747</v>
      </c>
    </row>
    <row r="48" customFormat="false" ht="12.75" hidden="false" customHeight="false" outlineLevel="0" collapsed="false">
      <c r="A48" s="204" t="n">
        <v>2</v>
      </c>
      <c r="B48" s="0" t="n">
        <v>149962</v>
      </c>
      <c r="C48" s="0" t="n">
        <v>601089316</v>
      </c>
      <c r="D48" s="0" t="n">
        <v>70030129</v>
      </c>
      <c r="E48" s="0" t="n">
        <v>32896064</v>
      </c>
      <c r="F48" s="43" t="n">
        <f aca="false">SUM(C48:E48)</f>
        <v>704015509</v>
      </c>
      <c r="I48" s="154" t="n">
        <f aca="false">E48/F48</f>
        <v>0.0467263342631845</v>
      </c>
    </row>
    <row r="49" customFormat="false" ht="12.75" hidden="false" customHeight="false" outlineLevel="0" collapsed="false">
      <c r="A49" s="204" t="n">
        <v>3</v>
      </c>
      <c r="B49" s="0" t="n">
        <v>139962</v>
      </c>
      <c r="C49" s="0" t="n">
        <v>584306203</v>
      </c>
      <c r="D49" s="0" t="n">
        <v>82571627</v>
      </c>
      <c r="E49" s="0" t="n">
        <v>58554341</v>
      </c>
      <c r="F49" s="43" t="n">
        <f aca="false">SUM(C49:E49)</f>
        <v>725432171</v>
      </c>
      <c r="I49" s="154" t="n">
        <f aca="false">E49/F49</f>
        <v>0.080716493341181</v>
      </c>
    </row>
    <row r="50" customFormat="false" ht="12.75" hidden="false" customHeight="false" outlineLevel="0" collapsed="false">
      <c r="A50" s="204" t="n">
        <v>4</v>
      </c>
      <c r="B50" s="0" t="n">
        <v>141597</v>
      </c>
      <c r="C50" s="0" t="n">
        <v>613971309</v>
      </c>
      <c r="D50" s="0" t="n">
        <v>100248660</v>
      </c>
      <c r="E50" s="0" t="n">
        <v>95599215</v>
      </c>
      <c r="F50" s="43" t="n">
        <f aca="false">SUM(C50:E50)</f>
        <v>809819184</v>
      </c>
      <c r="G50" s="43"/>
      <c r="I50" s="154" t="n">
        <f aca="false">E50/F50</f>
        <v>0.11805007449663</v>
      </c>
    </row>
    <row r="51" customFormat="false" ht="12.75" hidden="false" customHeight="false" outlineLevel="0" collapsed="false">
      <c r="A51" s="204" t="n">
        <v>5</v>
      </c>
      <c r="B51" s="0" t="n">
        <v>138210</v>
      </c>
      <c r="C51" s="0" t="n">
        <v>635694758</v>
      </c>
      <c r="D51" s="0" t="n">
        <v>114901676</v>
      </c>
      <c r="E51" s="0" t="n">
        <v>134466856</v>
      </c>
      <c r="F51" s="43" t="n">
        <f aca="false">SUM(C51:E51)</f>
        <v>885063290</v>
      </c>
      <c r="I51" s="154" t="n">
        <f aca="false">E51/F51</f>
        <v>0.151929085207003</v>
      </c>
    </row>
    <row r="52" customFormat="false" ht="12.75" hidden="false" customHeight="false" outlineLevel="0" collapsed="false">
      <c r="A52" s="204" t="n">
        <v>6</v>
      </c>
      <c r="B52" s="0" t="n">
        <v>127067</v>
      </c>
      <c r="C52" s="0" t="n">
        <v>609200028</v>
      </c>
      <c r="D52" s="0" t="n">
        <v>122081960</v>
      </c>
      <c r="E52" s="0" t="n">
        <v>155830320</v>
      </c>
      <c r="F52" s="43" t="n">
        <f aca="false">SUM(C52:E52)</f>
        <v>887112308</v>
      </c>
      <c r="I52" s="154" t="n">
        <f aca="false">E52/F52</f>
        <v>0.175660193861272</v>
      </c>
    </row>
    <row r="53" customFormat="false" ht="12.75" hidden="false" customHeight="false" outlineLevel="0" collapsed="false">
      <c r="A53" s="204" t="n">
        <v>7</v>
      </c>
      <c r="B53" s="0" t="n">
        <v>105259</v>
      </c>
      <c r="C53" s="0" t="n">
        <v>479949297</v>
      </c>
      <c r="D53" s="0" t="n">
        <v>111661794</v>
      </c>
      <c r="E53" s="0" t="n">
        <v>149956545</v>
      </c>
      <c r="F53" s="43" t="n">
        <f aca="false">SUM(C53:E53)</f>
        <v>741567636</v>
      </c>
      <c r="I53" s="130" t="n">
        <f aca="false">E53/F53</f>
        <v>0.202215600735844</v>
      </c>
    </row>
    <row r="54" customFormat="false" ht="12.75" hidden="false" customHeight="false" outlineLevel="0" collapsed="false">
      <c r="A54" s="204" t="n">
        <v>8</v>
      </c>
      <c r="B54" s="0" t="n">
        <v>102022</v>
      </c>
      <c r="C54" s="0" t="n">
        <v>461813994</v>
      </c>
      <c r="D54" s="0" t="n">
        <v>116366109</v>
      </c>
      <c r="E54" s="0" t="n">
        <v>170810752</v>
      </c>
      <c r="F54" s="43" t="n">
        <f aca="false">SUM(C54:E54)</f>
        <v>748990855</v>
      </c>
      <c r="I54" s="154" t="n">
        <f aca="false">E54/F54</f>
        <v>0.228054522775181</v>
      </c>
    </row>
    <row r="55" customFormat="false" ht="12.75" hidden="false" customHeight="false" outlineLevel="0" collapsed="false">
      <c r="A55" s="204" t="n">
        <v>9</v>
      </c>
      <c r="B55" s="0" t="n">
        <v>110583</v>
      </c>
      <c r="C55" s="0" t="n">
        <v>499459205</v>
      </c>
      <c r="D55" s="0" t="n">
        <v>133140182</v>
      </c>
      <c r="E55" s="0" t="n">
        <v>218729573</v>
      </c>
      <c r="F55" s="43" t="n">
        <f aca="false">SUM(C55:E55)</f>
        <v>851328960</v>
      </c>
      <c r="I55" s="154" t="n">
        <f aca="false">E55/F55</f>
        <v>0.256927208255667</v>
      </c>
    </row>
    <row r="56" customFormat="false" ht="12.75" hidden="false" customHeight="false" outlineLevel="0" collapsed="false">
      <c r="A56" s="204" t="n">
        <v>10</v>
      </c>
      <c r="B56" s="0" t="n">
        <v>133488</v>
      </c>
      <c r="C56" s="0" t="n">
        <v>601143654</v>
      </c>
      <c r="D56" s="0" t="n">
        <v>167861903</v>
      </c>
      <c r="E56" s="0" t="n">
        <v>319180703</v>
      </c>
      <c r="F56" s="43" t="n">
        <f aca="false">SUM(C56:E56)</f>
        <v>1088186260</v>
      </c>
      <c r="I56" s="154" t="n">
        <f aca="false">E56/F56</f>
        <v>0.293314402811886</v>
      </c>
    </row>
    <row r="57" customFormat="false" ht="12.75" hidden="false" customHeight="false" outlineLevel="0" collapsed="false">
      <c r="A57" s="204" t="n">
        <v>11</v>
      </c>
      <c r="B57" s="0" t="n">
        <v>202985</v>
      </c>
      <c r="C57" s="0" t="n">
        <v>912901210</v>
      </c>
      <c r="D57" s="0" t="n">
        <v>265353579</v>
      </c>
      <c r="E57" s="0" t="n">
        <v>641956430</v>
      </c>
      <c r="F57" s="43" t="n">
        <f aca="false">SUM(C57:E57)</f>
        <v>1820211219</v>
      </c>
      <c r="I57" s="154" t="n">
        <f aca="false">E57/F57</f>
        <v>0.352682382846032</v>
      </c>
    </row>
    <row r="58" customFormat="false" ht="12.75" hidden="false" customHeight="false" outlineLevel="0" collapsed="false">
      <c r="A58" s="164" t="n">
        <v>12</v>
      </c>
      <c r="B58" s="0" t="n">
        <v>1123916</v>
      </c>
      <c r="C58" s="0" t="n">
        <v>4783538407</v>
      </c>
      <c r="D58" s="0" t="n">
        <v>1435504002</v>
      </c>
      <c r="E58" s="0" t="n">
        <v>6858571761</v>
      </c>
      <c r="F58" s="169" t="n">
        <f aca="false">SUM(C58:E58)</f>
        <v>13077614170</v>
      </c>
      <c r="I58" s="154" t="n">
        <f aca="false">E58/F58</f>
        <v>0.524451300661059</v>
      </c>
      <c r="J58" s="154"/>
    </row>
    <row r="59" customFormat="false" ht="12.75" hidden="false" customHeight="false" outlineLevel="0" collapsed="false">
      <c r="A59" s="204" t="s">
        <v>121</v>
      </c>
      <c r="B59" s="43" t="n">
        <f aca="false">SUM(B47:B58)</f>
        <v>2667041</v>
      </c>
      <c r="C59" s="43" t="n">
        <f aca="false">SUM(C47:C58)</f>
        <v>11506879179</v>
      </c>
      <c r="D59" s="43" t="n">
        <f aca="false">SUM(D47:D58)</f>
        <v>2781363979</v>
      </c>
      <c r="E59" s="43" t="n">
        <f aca="false">SUM(E47:E58)</f>
        <v>8855015465</v>
      </c>
      <c r="F59" s="43" t="n">
        <f aca="false">SUM(F47:F58)</f>
        <v>23143258623</v>
      </c>
      <c r="G59" s="154" t="n">
        <f aca="false">B59/B$69</f>
        <v>0.703896602952731</v>
      </c>
      <c r="H59" s="130" t="n">
        <f aca="false">F59/F$69</f>
        <v>0.876183491943295</v>
      </c>
      <c r="I59" s="154" t="n">
        <f aca="false">E59/F59</f>
        <v>0.38261748741812</v>
      </c>
    </row>
    <row r="60" customFormat="false" ht="12.75" hidden="false" customHeight="false" outlineLevel="0" collapsed="false">
      <c r="C60" s="130" t="n">
        <f aca="false">C59/$F59</f>
        <v>0.497202203304437</v>
      </c>
      <c r="D60" s="130" t="n">
        <f aca="false">D59/$F59</f>
        <v>0.120180309277443</v>
      </c>
      <c r="E60" s="130" t="n">
        <f aca="false">E59/$F59</f>
        <v>0.38261748741812</v>
      </c>
      <c r="F60" s="43" t="n">
        <f aca="false">F59/B59</f>
        <v>8677.50387901798</v>
      </c>
      <c r="G60" s="154"/>
      <c r="H60" s="130"/>
    </row>
    <row r="61" customFormat="false" ht="12.75" hidden="false" customHeight="false" outlineLevel="0" collapsed="false">
      <c r="C61" s="130"/>
      <c r="D61" s="130"/>
      <c r="E61" s="130"/>
      <c r="F61" s="43"/>
      <c r="G61" s="154"/>
      <c r="H61" s="130"/>
    </row>
    <row r="62" customFormat="false" ht="12.75" hidden="false" customHeight="false" outlineLevel="0" collapsed="false">
      <c r="A62" s="204" t="s">
        <v>145</v>
      </c>
      <c r="B62" s="43" t="n">
        <f aca="false">SUM(B47:B49)</f>
        <v>481914</v>
      </c>
      <c r="C62" s="43" t="n">
        <f aca="false">SUM(C47:C49)</f>
        <v>1909207317</v>
      </c>
      <c r="D62" s="43" t="n">
        <f aca="false">SUM(D47:D49)</f>
        <v>214244114</v>
      </c>
      <c r="E62" s="43" t="n">
        <f aca="false">SUM(E47:E49)</f>
        <v>109913310</v>
      </c>
      <c r="F62" s="43" t="n">
        <f aca="false">SUM(F47:F49)</f>
        <v>2233364741</v>
      </c>
      <c r="G62" s="154" t="n">
        <f aca="false">B62/B69</f>
        <v>0.12718875619661</v>
      </c>
    </row>
    <row r="63" customFormat="false" ht="12.75" hidden="false" customHeight="false" outlineLevel="0" collapsed="false">
      <c r="A63" s="204" t="s">
        <v>146</v>
      </c>
      <c r="B63" s="154"/>
      <c r="C63" s="154" t="n">
        <f aca="false">C62/$F62</f>
        <v>0.854856925942667</v>
      </c>
      <c r="D63" s="154" t="n">
        <f aca="false">D62/$F62</f>
        <v>0.0959288512381865</v>
      </c>
      <c r="E63" s="154" t="n">
        <f aca="false">E62/$F62</f>
        <v>0.0492142228191468</v>
      </c>
      <c r="F63" s="43" t="n">
        <f aca="false">F62/B62</f>
        <v>4634.36368522184</v>
      </c>
    </row>
    <row r="64" customFormat="false" ht="12.75" hidden="false" customHeight="false" outlineLevel="0" collapsed="false">
      <c r="F64" s="43"/>
      <c r="G64" s="154"/>
    </row>
    <row r="65" customFormat="false" ht="12.75" hidden="false" customHeight="false" outlineLevel="0" collapsed="false">
      <c r="A65" s="209" t="s">
        <v>147</v>
      </c>
      <c r="B65" s="43" t="n">
        <f aca="false">B58</f>
        <v>1123916</v>
      </c>
      <c r="C65" s="43" t="n">
        <f aca="false">C58</f>
        <v>4783538407</v>
      </c>
      <c r="D65" s="43" t="n">
        <f aca="false">D58</f>
        <v>1435504002</v>
      </c>
      <c r="E65" s="43" t="n">
        <f aca="false">E58</f>
        <v>6858571761</v>
      </c>
      <c r="F65" s="43" t="n">
        <f aca="false">SUM(C65:E65)</f>
        <v>13077614170</v>
      </c>
      <c r="G65" s="154" t="n">
        <f aca="false">B65/B69</f>
        <v>0.296628606160993</v>
      </c>
    </row>
    <row r="66" customFormat="false" ht="12.75" hidden="false" customHeight="false" outlineLevel="0" collapsed="false">
      <c r="A66" s="204" t="s">
        <v>146</v>
      </c>
      <c r="B66" s="5"/>
      <c r="C66" s="154" t="n">
        <f aca="false">C65/$F65</f>
        <v>0.365780664945248</v>
      </c>
      <c r="D66" s="154" t="n">
        <f aca="false">D65/$F65</f>
        <v>0.109768034393692</v>
      </c>
      <c r="E66" s="154" t="n">
        <f aca="false">E65/$F65</f>
        <v>0.524451300661059</v>
      </c>
      <c r="F66" s="43" t="n">
        <f aca="false">F65/B65</f>
        <v>11635.7576277942</v>
      </c>
    </row>
    <row r="67" customFormat="false" ht="12.75" hidden="false" customHeight="false" outlineLevel="0" collapsed="false">
      <c r="B67" s="154"/>
      <c r="C67" s="154"/>
      <c r="D67" s="154"/>
      <c r="E67" s="154"/>
    </row>
    <row r="68" customFormat="false" ht="12.75" hidden="false" customHeight="false" outlineLevel="0" collapsed="false">
      <c r="F68" s="43"/>
      <c r="G68" s="154"/>
    </row>
    <row r="69" customFormat="false" ht="12.75" hidden="false" customHeight="false" outlineLevel="0" collapsed="false">
      <c r="A69" s="204" t="s">
        <v>162</v>
      </c>
      <c r="B69" s="43" t="n">
        <f aca="false">B24+B40+B59</f>
        <v>3788967</v>
      </c>
      <c r="C69" s="43" t="n">
        <f aca="false">C24+C40+C59</f>
        <v>14713813280</v>
      </c>
      <c r="D69" s="43" t="n">
        <f aca="false">D24+D40+D59</f>
        <v>2844883492</v>
      </c>
      <c r="E69" s="43" t="n">
        <f aca="false">E24+E40+E59</f>
        <v>8855015465</v>
      </c>
      <c r="F69" s="43" t="n">
        <f aca="false">SUM(C69:E69)</f>
        <v>26413712237</v>
      </c>
    </row>
    <row r="70" customFormat="false" ht="12.75" hidden="false" customHeight="false" outlineLevel="0" collapsed="false">
      <c r="C70" s="154" t="n">
        <f aca="false">C69/$F69</f>
        <v>0.557052077647347</v>
      </c>
      <c r="D70" s="154" t="n">
        <f aca="false">D69/$F69</f>
        <v>0.107704796148075</v>
      </c>
      <c r="E70" s="154" t="n">
        <f aca="false">E69/$F69</f>
        <v>0.335243126204578</v>
      </c>
      <c r="F70" s="43" t="n">
        <f aca="false">F69/B69</f>
        <v>6971.21728349706</v>
      </c>
    </row>
    <row r="71" customFormat="false" ht="12.75" hidden="false" customHeight="false" outlineLevel="0" collapsed="false">
      <c r="F71" s="43"/>
    </row>
    <row r="73" customFormat="false" ht="12.75" hidden="false" customHeight="false" outlineLevel="0" collapsed="false">
      <c r="A73" s="204" t="s">
        <v>163</v>
      </c>
      <c r="B73" s="43" t="n">
        <v>1295774</v>
      </c>
      <c r="C73" s="43" t="n">
        <v>3756167710</v>
      </c>
      <c r="D73" s="43" t="n">
        <v>75702878</v>
      </c>
      <c r="E73" s="43" t="n">
        <v>0</v>
      </c>
      <c r="F73" s="43" t="n">
        <f aca="false">SUM(B73:E73)</f>
        <v>3833166362</v>
      </c>
      <c r="G73" s="154" t="n">
        <f aca="false">B73/B69</f>
        <v>0.341986087500894</v>
      </c>
    </row>
    <row r="74" customFormat="false" ht="12.75" hidden="false" customHeight="false" outlineLevel="0" collapsed="false">
      <c r="C74" s="154" t="n">
        <f aca="false">C73/$F73</f>
        <v>0.979912520165228</v>
      </c>
      <c r="D74" s="154" t="n">
        <f aca="false">D73/$F73</f>
        <v>0.0197494371103948</v>
      </c>
      <c r="E74" s="154" t="n">
        <f aca="false">E73/$F73</f>
        <v>0</v>
      </c>
      <c r="F74" s="43" t="n">
        <f aca="false">F73/B73</f>
        <v>2958.20595412472</v>
      </c>
    </row>
    <row r="75" customFormat="false" ht="12.75" hidden="false" customHeight="false" outlineLevel="0" collapsed="false">
      <c r="C75" s="154"/>
      <c r="D75" s="154"/>
      <c r="E75" s="154"/>
      <c r="F75" s="43"/>
    </row>
    <row r="76" customFormat="false" ht="12.75" hidden="false" customHeight="false" outlineLevel="0" collapsed="false">
      <c r="A76" s="214" t="s">
        <v>149</v>
      </c>
      <c r="B76" s="5"/>
      <c r="F76" s="43"/>
    </row>
    <row r="77" customFormat="false" ht="12.75" hidden="false" customHeight="false" outlineLevel="0" collapsed="false">
      <c r="A77" s="204" t="s">
        <v>104</v>
      </c>
      <c r="B77" s="212" t="s">
        <v>150</v>
      </c>
      <c r="C77" s="43" t="s">
        <v>151</v>
      </c>
      <c r="D77" s="212" t="s">
        <v>143</v>
      </c>
      <c r="E77" s="43" t="s">
        <v>152</v>
      </c>
      <c r="F77" s="212" t="s">
        <v>144</v>
      </c>
    </row>
    <row r="78" customFormat="false" ht="12.75" hidden="false" customHeight="false" outlineLevel="0" collapsed="false">
      <c r="A78" s="204" t="n">
        <v>1</v>
      </c>
      <c r="B78" s="5" t="n">
        <f aca="false">A12*B12</f>
        <v>4335</v>
      </c>
      <c r="C78" s="5" t="n">
        <f aca="false">(12-A28)*B28</f>
        <v>1373834</v>
      </c>
      <c r="D78" s="5" t="n">
        <f aca="false">A28*B28</f>
        <v>124894</v>
      </c>
      <c r="E78" s="5" t="n">
        <f aca="false">(12-A47)*B47</f>
        <v>2111890</v>
      </c>
      <c r="F78" s="5" t="n">
        <f aca="false">A47*B47</f>
        <v>191990</v>
      </c>
    </row>
    <row r="79" customFormat="false" ht="12.75" hidden="false" customHeight="false" outlineLevel="0" collapsed="false">
      <c r="A79" s="204" t="n">
        <v>2</v>
      </c>
      <c r="B79" s="5" t="n">
        <f aca="false">A13*B13</f>
        <v>7472</v>
      </c>
      <c r="C79" s="5" t="n">
        <f aca="false">(12-A29)*B29</f>
        <v>798480</v>
      </c>
      <c r="D79" s="5" t="n">
        <f aca="false">A29*B29</f>
        <v>159696</v>
      </c>
      <c r="E79" s="5" t="n">
        <f aca="false">(12-A48)*B48</f>
        <v>1499620</v>
      </c>
      <c r="F79" s="5" t="n">
        <f aca="false">A48*B48</f>
        <v>299924</v>
      </c>
    </row>
    <row r="80" customFormat="false" ht="12.75" hidden="false" customHeight="false" outlineLevel="0" collapsed="false">
      <c r="A80" s="204" t="n">
        <v>3</v>
      </c>
      <c r="B80" s="5" t="n">
        <f aca="false">A14*B14</f>
        <v>9942</v>
      </c>
      <c r="C80" s="5" t="n">
        <f aca="false">(12-A30)*B30</f>
        <v>514548</v>
      </c>
      <c r="D80" s="5" t="n">
        <f aca="false">A30*B30</f>
        <v>171516</v>
      </c>
      <c r="E80" s="5" t="n">
        <f aca="false">(12-A49)*B49</f>
        <v>1259658</v>
      </c>
      <c r="F80" s="5" t="n">
        <f aca="false">A49*B49</f>
        <v>419886</v>
      </c>
    </row>
    <row r="81" customFormat="false" ht="12.75" hidden="false" customHeight="false" outlineLevel="0" collapsed="false">
      <c r="A81" s="204" t="n">
        <v>4</v>
      </c>
      <c r="B81" s="5" t="n">
        <f aca="false">A15*B15</f>
        <v>10188</v>
      </c>
      <c r="C81" s="5" t="n">
        <f aca="false">(12-A31)*B31</f>
        <v>348928</v>
      </c>
      <c r="D81" s="5" t="n">
        <f aca="false">A31*B31</f>
        <v>174464</v>
      </c>
      <c r="E81" s="5" t="n">
        <f aca="false">(12-A50)*B50</f>
        <v>1132776</v>
      </c>
      <c r="F81" s="5" t="n">
        <f aca="false">A50*B50</f>
        <v>566388</v>
      </c>
    </row>
    <row r="82" customFormat="false" ht="12.75" hidden="false" customHeight="false" outlineLevel="0" collapsed="false">
      <c r="A82" s="204" t="n">
        <v>5</v>
      </c>
      <c r="B82" s="5" t="n">
        <f aca="false">A16*B16</f>
        <v>10925</v>
      </c>
      <c r="C82" s="5" t="n">
        <f aca="false">(12-A32)*B32</f>
        <v>239302</v>
      </c>
      <c r="D82" s="5" t="n">
        <f aca="false">A32*B32</f>
        <v>170930</v>
      </c>
      <c r="E82" s="5" t="n">
        <f aca="false">(12-A51)*B51</f>
        <v>967470</v>
      </c>
      <c r="F82" s="5" t="n">
        <f aca="false">A51*B51</f>
        <v>691050</v>
      </c>
    </row>
    <row r="83" customFormat="false" ht="12.75" hidden="false" customHeight="false" outlineLevel="0" collapsed="false">
      <c r="A83" s="204" t="n">
        <v>6</v>
      </c>
      <c r="B83" s="5" t="n">
        <f aca="false">A17*B17</f>
        <v>14130</v>
      </c>
      <c r="C83" s="5" t="n">
        <f aca="false">(12-A33)*B33</f>
        <v>153588</v>
      </c>
      <c r="D83" s="5" t="n">
        <f aca="false">A33*B33</f>
        <v>153588</v>
      </c>
      <c r="E83" s="5" t="n">
        <f aca="false">(12-A52)*B52</f>
        <v>762402</v>
      </c>
      <c r="F83" s="5" t="n">
        <f aca="false">A52*B52</f>
        <v>762402</v>
      </c>
    </row>
    <row r="84" customFormat="false" ht="12.75" hidden="false" customHeight="false" outlineLevel="0" collapsed="false">
      <c r="A84" s="204" t="n">
        <v>7</v>
      </c>
      <c r="B84" s="5" t="n">
        <f aca="false">A18*B18</f>
        <v>16422</v>
      </c>
      <c r="C84" s="5" t="n">
        <f aca="false">(12-A34)*B34</f>
        <v>86315</v>
      </c>
      <c r="D84" s="5" t="n">
        <f aca="false">A34*B34</f>
        <v>120841</v>
      </c>
      <c r="E84" s="5" t="n">
        <f aca="false">(12-A53)*B53</f>
        <v>526295</v>
      </c>
      <c r="F84" s="5" t="n">
        <f aca="false">A53*B53</f>
        <v>736813</v>
      </c>
    </row>
    <row r="85" customFormat="false" ht="12.75" hidden="false" customHeight="false" outlineLevel="0" collapsed="false">
      <c r="A85" s="204" t="n">
        <v>8</v>
      </c>
      <c r="B85" s="5" t="n">
        <f aca="false">A19*B19</f>
        <v>19712</v>
      </c>
      <c r="C85" s="5" t="n">
        <f aca="false">(12-A35)*B35</f>
        <v>53840</v>
      </c>
      <c r="D85" s="5" t="n">
        <f aca="false">A35*B35</f>
        <v>107680</v>
      </c>
      <c r="E85" s="5" t="n">
        <f aca="false">(12-A54)*B54</f>
        <v>408088</v>
      </c>
      <c r="F85" s="5" t="n">
        <f aca="false">A54*B54</f>
        <v>816176</v>
      </c>
    </row>
    <row r="86" customFormat="false" ht="12.75" hidden="false" customHeight="false" outlineLevel="0" collapsed="false">
      <c r="A86" s="204" t="n">
        <v>9</v>
      </c>
      <c r="B86" s="5" t="n">
        <f aca="false">A20*B20</f>
        <v>25578</v>
      </c>
      <c r="C86" s="5" t="n">
        <f aca="false">(12-A36)*B36</f>
        <v>33405</v>
      </c>
      <c r="D86" s="5" t="n">
        <f aca="false">A36*B36</f>
        <v>100215</v>
      </c>
      <c r="E86" s="5" t="n">
        <f aca="false">(12-A55)*B55</f>
        <v>331749</v>
      </c>
      <c r="F86" s="5" t="n">
        <f aca="false">A55*B55</f>
        <v>995247</v>
      </c>
    </row>
    <row r="87" customFormat="false" ht="12.75" hidden="false" customHeight="false" outlineLevel="0" collapsed="false">
      <c r="A87" s="204" t="n">
        <v>10</v>
      </c>
      <c r="B87" s="5" t="n">
        <f aca="false">A21*B21</f>
        <v>40490</v>
      </c>
      <c r="C87" s="5" t="n">
        <f aca="false">(12-A37)*B37</f>
        <v>18860</v>
      </c>
      <c r="D87" s="5" t="n">
        <f aca="false">A37*B37</f>
        <v>94300</v>
      </c>
      <c r="E87" s="5" t="n">
        <f aca="false">(12-A56)*B56</f>
        <v>266976</v>
      </c>
      <c r="F87" s="5" t="n">
        <f aca="false">A56*B56</f>
        <v>1334880</v>
      </c>
    </row>
    <row r="88" customFormat="false" ht="12.75" hidden="false" customHeight="false" outlineLevel="0" collapsed="false">
      <c r="A88" s="204" t="n">
        <v>11</v>
      </c>
      <c r="B88" s="5" t="n">
        <f aca="false">A22*B22</f>
        <v>113630</v>
      </c>
      <c r="C88" s="5" t="n">
        <f aca="false">(12-A38)*B38</f>
        <v>8253</v>
      </c>
      <c r="D88" s="5" t="n">
        <f aca="false">A38*B38</f>
        <v>90783</v>
      </c>
      <c r="E88" s="5" t="n">
        <f aca="false">(12-A57)*B57</f>
        <v>202985</v>
      </c>
      <c r="F88" s="5" t="n">
        <f aca="false">A57*B57</f>
        <v>2232835</v>
      </c>
    </row>
    <row r="89" customFormat="false" ht="12.75" hidden="false" customHeight="false" outlineLevel="0" collapsed="false">
      <c r="A89" s="204" t="n">
        <v>12</v>
      </c>
      <c r="B89" s="5" t="n">
        <f aca="false">A23*B23</f>
        <v>7777200</v>
      </c>
      <c r="C89" s="5" t="n">
        <f aca="false">(12-A39)*B39</f>
        <v>0</v>
      </c>
      <c r="D89" s="5" t="n">
        <f aca="false">A39*B39</f>
        <v>101616</v>
      </c>
      <c r="E89" s="5" t="n">
        <f aca="false">(12-A58)*B58</f>
        <v>0</v>
      </c>
      <c r="F89" s="5" t="n">
        <f aca="false">A58*B58</f>
        <v>13486992</v>
      </c>
    </row>
    <row r="90" customFormat="false" ht="12.75" hidden="false" customHeight="false" outlineLevel="0" collapsed="false">
      <c r="B90" s="43" t="n">
        <f aca="false">SUM(B78:B89)</f>
        <v>8050024</v>
      </c>
      <c r="C90" s="43" t="n">
        <f aca="false">SUM(C78:C89)</f>
        <v>3629353</v>
      </c>
      <c r="D90" s="43" t="n">
        <f aca="false">SUM(D78:D89)</f>
        <v>1570523</v>
      </c>
      <c r="E90" s="43" t="n">
        <f aca="false">SUM(E78:E89)</f>
        <v>9469909</v>
      </c>
      <c r="F90" s="43" t="n">
        <f aca="false">SUM(F78:F89)</f>
        <v>22534583</v>
      </c>
      <c r="G90" s="43" t="n">
        <f aca="false">SUM(B90:F90)</f>
        <v>45254392</v>
      </c>
    </row>
    <row r="92" customFormat="false" ht="12.75" hidden="false" customHeight="false" outlineLevel="0" collapsed="false">
      <c r="A92" s="204" t="s">
        <v>153</v>
      </c>
      <c r="B92" s="43" t="n">
        <f aca="false">B90+C90</f>
        <v>11679377</v>
      </c>
      <c r="C92" s="130" t="n">
        <f aca="false">B92/B$95</f>
        <v>0.258082729296197</v>
      </c>
    </row>
    <row r="93" customFormat="false" ht="12.75" hidden="false" customHeight="false" outlineLevel="0" collapsed="false">
      <c r="A93" s="204" t="s">
        <v>154</v>
      </c>
      <c r="B93" s="43" t="n">
        <f aca="false">D90+E90</f>
        <v>11040432</v>
      </c>
      <c r="C93" s="130" t="n">
        <f aca="false">B93/B$95</f>
        <v>0.243963768201769</v>
      </c>
    </row>
    <row r="94" customFormat="false" ht="12.75" hidden="false" customHeight="false" outlineLevel="0" collapsed="false">
      <c r="A94" s="204" t="s">
        <v>155</v>
      </c>
      <c r="B94" s="43" t="n">
        <f aca="false">F90</f>
        <v>22534583</v>
      </c>
      <c r="C94" s="130" t="n">
        <f aca="false">B94/B$95</f>
        <v>0.497953502502033</v>
      </c>
    </row>
    <row r="95" customFormat="false" ht="12.75" hidden="false" customHeight="false" outlineLevel="0" collapsed="false">
      <c r="B95" s="43" t="n">
        <f aca="false">G90</f>
        <v>45254392</v>
      </c>
    </row>
    <row r="97" customFormat="false" ht="12.75" hidden="false" customHeight="false" outlineLevel="0" collapsed="false">
      <c r="A97" s="204" t="s">
        <v>104</v>
      </c>
      <c r="B97" s="43" t="s">
        <v>164</v>
      </c>
      <c r="C97" s="188" t="s">
        <v>165</v>
      </c>
      <c r="F97" s="5" t="s">
        <v>166</v>
      </c>
      <c r="G97" s="5" t="s">
        <v>167</v>
      </c>
      <c r="H97" s="5" t="s">
        <v>168</v>
      </c>
      <c r="J97" s="0"/>
      <c r="K97" s="5" t="s">
        <v>169</v>
      </c>
    </row>
    <row r="98" customFormat="false" ht="12.75" hidden="false" customHeight="false" outlineLevel="0" collapsed="false">
      <c r="A98" s="204" t="n">
        <v>1</v>
      </c>
      <c r="B98" s="43" t="n">
        <f aca="false">B47</f>
        <v>191990</v>
      </c>
      <c r="C98" s="220" t="n">
        <f aca="false">C47*Prices!E$6</f>
        <v>82732412.323198</v>
      </c>
      <c r="D98" s="220" t="n">
        <f aca="false">D47*Prices!E$7</f>
        <v>8006664.238262</v>
      </c>
      <c r="E98" s="220" t="n">
        <f aca="false">E47*Prices!E$8</f>
        <v>3598217.092545</v>
      </c>
      <c r="F98" s="220" t="n">
        <f aca="false">SUM(C98:E98)</f>
        <v>94337293.654005</v>
      </c>
      <c r="G98" s="130" t="n">
        <f aca="false">(F98-K98)/K98</f>
        <v>0.0128851711537114</v>
      </c>
      <c r="H98" s="220" t="n">
        <f aca="false">C47*Prices!E$6</f>
        <v>82732412.323198</v>
      </c>
      <c r="I98" s="220" t="n">
        <f aca="false">D47*Prices!$E$7</f>
        <v>8006664.238262</v>
      </c>
      <c r="J98" s="220" t="n">
        <f aca="false">E47*Prices!$E$7</f>
        <v>2398128.267545</v>
      </c>
      <c r="K98" s="220" t="n">
        <f aca="false">SUM(H98:J98)</f>
        <v>93137204.829005</v>
      </c>
    </row>
    <row r="99" customFormat="false" ht="12.75" hidden="false" customHeight="false" outlineLevel="0" collapsed="false">
      <c r="A99" s="204" t="n">
        <v>2</v>
      </c>
      <c r="B99" s="43" t="n">
        <f aca="false">B48</f>
        <v>149962</v>
      </c>
      <c r="C99" s="220" t="n">
        <f aca="false">C48*Prices!E$6</f>
        <v>68705109.908116</v>
      </c>
      <c r="D99" s="220" t="n">
        <f aca="false">D48*Prices!E$7</f>
        <v>9096143.425681</v>
      </c>
      <c r="E99" s="220" t="n">
        <f aca="false">E48*Prices!E$8</f>
        <v>6411081.016896</v>
      </c>
      <c r="F99" s="220" t="n">
        <f aca="false">SUM(C99:E99)</f>
        <v>84212334.350693</v>
      </c>
      <c r="G99" s="130" t="n">
        <f aca="false">(F99-K99)/K99</f>
        <v>0.0260526087469498</v>
      </c>
      <c r="H99" s="220" t="n">
        <f aca="false">C48*Prices!E$6</f>
        <v>68705109.908116</v>
      </c>
      <c r="I99" s="220" t="n">
        <f aca="false">D48*Prices!$E$7</f>
        <v>9096143.425681</v>
      </c>
      <c r="J99" s="220" t="n">
        <f aca="false">E48*Prices!$E$7</f>
        <v>4272836.856896</v>
      </c>
      <c r="K99" s="220" t="n">
        <f aca="false">SUM(H99:J99)</f>
        <v>82074090.190693</v>
      </c>
    </row>
    <row r="100" customFormat="false" ht="12.75" hidden="false" customHeight="false" outlineLevel="0" collapsed="false">
      <c r="A100" s="204" t="n">
        <v>3</v>
      </c>
      <c r="B100" s="43" t="n">
        <f aca="false">B49</f>
        <v>139962</v>
      </c>
      <c r="C100" s="220" t="n">
        <f aca="false">C49*Prices!E$6</f>
        <v>66786783.309103</v>
      </c>
      <c r="D100" s="220" t="n">
        <f aca="false">D49*Prices!E$7</f>
        <v>10725146.059403</v>
      </c>
      <c r="E100" s="220" t="n">
        <f aca="false">E49*Prices!E$8</f>
        <v>11411596.963149</v>
      </c>
      <c r="F100" s="220" t="n">
        <f aca="false">SUM(C100:E100)</f>
        <v>88923526.331655</v>
      </c>
      <c r="G100" s="130" t="n">
        <f aca="false">(F100-K100)/K100</f>
        <v>0.0447150401014861</v>
      </c>
      <c r="H100" s="220" t="n">
        <f aca="false">C49*Prices!E$6</f>
        <v>66786783.309103</v>
      </c>
      <c r="I100" s="220" t="n">
        <f aca="false">D49*Prices!$E$7</f>
        <v>10725146.059403</v>
      </c>
      <c r="J100" s="220" t="n">
        <f aca="false">E49*Prices!$E$7</f>
        <v>7605564.798149</v>
      </c>
      <c r="K100" s="220" t="n">
        <f aca="false">SUM(H100:J100)</f>
        <v>85117494.166655</v>
      </c>
    </row>
    <row r="101" customFormat="false" ht="12.75" hidden="false" customHeight="false" outlineLevel="0" collapsed="false">
      <c r="A101" s="204" t="n">
        <v>4</v>
      </c>
      <c r="B101" s="43" t="n">
        <f aca="false">B50</f>
        <v>141597</v>
      </c>
      <c r="C101" s="220" t="n">
        <f aca="false">C50*Prices!E$6</f>
        <v>70177534.590009</v>
      </c>
      <c r="D101" s="220" t="n">
        <f aca="false">D50*Prices!E$7</f>
        <v>13021198.19874</v>
      </c>
      <c r="E101" s="220" t="n">
        <f aca="false">E50*Prices!E$8</f>
        <v>18631235.412135</v>
      </c>
      <c r="F101" s="220" t="n">
        <f aca="false">SUM(C101:E101)</f>
        <v>101829968.200884</v>
      </c>
      <c r="G101" s="130" t="n">
        <f aca="false">(F101-K101)/K101</f>
        <v>0.0649885764467995</v>
      </c>
      <c r="H101" s="220" t="n">
        <f aca="false">C50*Prices!E$6</f>
        <v>70177534.590009</v>
      </c>
      <c r="I101" s="220" t="n">
        <f aca="false">D50*Prices!$E$7</f>
        <v>13021198.19874</v>
      </c>
      <c r="J101" s="220" t="n">
        <f aca="false">E50*Prices!$E$7</f>
        <v>12417286.437135</v>
      </c>
      <c r="K101" s="220" t="n">
        <f aca="false">SUM(H101:J101)</f>
        <v>95616019.225884</v>
      </c>
    </row>
    <row r="102" customFormat="false" ht="12.75" hidden="false" customHeight="false" outlineLevel="0" collapsed="false">
      <c r="A102" s="204" t="n">
        <v>5</v>
      </c>
      <c r="B102" s="43" t="n">
        <f aca="false">B51</f>
        <v>138210</v>
      </c>
      <c r="C102" s="220" t="n">
        <f aca="false">C51*Prices!E$6</f>
        <v>72660546.534158</v>
      </c>
      <c r="D102" s="220" t="n">
        <f aca="false">D51*Prices!E$7</f>
        <v>14924463.793964</v>
      </c>
      <c r="E102" s="220" t="n">
        <f aca="false">E51*Prices!E$8</f>
        <v>26206111.098984</v>
      </c>
      <c r="F102" s="220" t="n">
        <f aca="false">SUM(C102:E102)</f>
        <v>113791121.427106</v>
      </c>
      <c r="G102" s="130" t="n">
        <f aca="false">(F102-K102)/K102</f>
        <v>0.0832011527236412</v>
      </c>
      <c r="H102" s="220" t="n">
        <f aca="false">C51*Prices!E$6</f>
        <v>72660546.534158</v>
      </c>
      <c r="I102" s="220" t="n">
        <f aca="false">D51*Prices!$E$7</f>
        <v>14924463.793964</v>
      </c>
      <c r="J102" s="220" t="n">
        <f aca="false">E51*Prices!$E$7</f>
        <v>17465765.458984</v>
      </c>
      <c r="K102" s="220" t="n">
        <f aca="false">SUM(H102:J102)</f>
        <v>105050775.787106</v>
      </c>
    </row>
    <row r="103" customFormat="false" ht="12.75" hidden="false" customHeight="false" outlineLevel="0" collapsed="false">
      <c r="A103" s="204" t="n">
        <v>6</v>
      </c>
      <c r="B103" s="43" t="n">
        <f aca="false">B52</f>
        <v>127067</v>
      </c>
      <c r="C103" s="220" t="n">
        <f aca="false">C52*Prices!E$6</f>
        <v>69632172.400428</v>
      </c>
      <c r="D103" s="220" t="n">
        <f aca="false">D52*Prices!E$7</f>
        <v>15857103.70244</v>
      </c>
      <c r="E103" s="220" t="n">
        <f aca="false">E52*Prices!E$8</f>
        <v>30369615.23448</v>
      </c>
      <c r="F103" s="220" t="n">
        <f aca="false">SUM(C103:E103)</f>
        <v>115858891.337348</v>
      </c>
      <c r="G103" s="130" t="n">
        <f aca="false">(F103-K103)/K103</f>
        <v>0.0958004200563269</v>
      </c>
      <c r="H103" s="220" t="n">
        <f aca="false">C52*Prices!E$6</f>
        <v>69632172.400428</v>
      </c>
      <c r="I103" s="220" t="n">
        <f aca="false">D52*Prices!$E$7</f>
        <v>15857103.70244</v>
      </c>
      <c r="J103" s="220" t="n">
        <f aca="false">E52*Prices!$E$7</f>
        <v>20240644.43448</v>
      </c>
      <c r="K103" s="220" t="n">
        <f aca="false">SUM(H103:J103)</f>
        <v>105729920.537348</v>
      </c>
    </row>
    <row r="104" customFormat="false" ht="12.75" hidden="false" customHeight="false" outlineLevel="0" collapsed="false">
      <c r="A104" s="204" t="n">
        <v>7</v>
      </c>
      <c r="B104" s="43" t="n">
        <f aca="false">B53</f>
        <v>105259</v>
      </c>
      <c r="C104" s="220" t="n">
        <f aca="false">C53*Prices!E$6</f>
        <v>54858684.596397</v>
      </c>
      <c r="D104" s="220" t="n">
        <f aca="false">D53*Prices!E$7</f>
        <v>14503638.760866</v>
      </c>
      <c r="E104" s="220" t="n">
        <f aca="false">E53*Prices!E$8</f>
        <v>29224881.098505</v>
      </c>
      <c r="F104" s="220" t="n">
        <f aca="false">SUM(C104:E104)</f>
        <v>98587204.455768</v>
      </c>
      <c r="G104" s="130" t="n">
        <f aca="false">(F104-K104)/K104</f>
        <v>0.109716031515751</v>
      </c>
      <c r="H104" s="220" t="n">
        <f aca="false">C53*Prices!E$6</f>
        <v>54858684.596397</v>
      </c>
      <c r="I104" s="220" t="n">
        <f aca="false">D53*Prices!$E$7</f>
        <v>14503638.760866</v>
      </c>
      <c r="J104" s="220" t="n">
        <f aca="false">E53*Prices!$E$7</f>
        <v>19477705.673505</v>
      </c>
      <c r="K104" s="220" t="n">
        <f aca="false">SUM(H104:J104)</f>
        <v>88840029.030768</v>
      </c>
    </row>
    <row r="105" customFormat="false" ht="12.75" hidden="false" customHeight="false" outlineLevel="0" collapsed="false">
      <c r="A105" s="204" t="n">
        <v>8</v>
      </c>
      <c r="B105" s="43" t="n">
        <f aca="false">B54</f>
        <v>102022</v>
      </c>
      <c r="C105" s="220" t="n">
        <f aca="false">C54*Prices!E$6</f>
        <v>52785801.328194</v>
      </c>
      <c r="D105" s="220" t="n">
        <f aca="false">D54*Prices!E$7</f>
        <v>15114677.531901</v>
      </c>
      <c r="E105" s="220" t="n">
        <f aca="false">E54*Prices!E$8</f>
        <v>33289136.646528</v>
      </c>
      <c r="F105" s="220" t="n">
        <f aca="false">SUM(C105:E105)</f>
        <v>101189615.506623</v>
      </c>
      <c r="G105" s="130" t="n">
        <f aca="false">(F105-K105)/K105</f>
        <v>0.123244298903209</v>
      </c>
      <c r="H105" s="220" t="n">
        <f aca="false">C54*Prices!E$6</f>
        <v>52785801.328194</v>
      </c>
      <c r="I105" s="220" t="n">
        <f aca="false">D54*Prices!$E$7</f>
        <v>15114677.531901</v>
      </c>
      <c r="J105" s="220" t="n">
        <f aca="false">E54*Prices!$E$7</f>
        <v>22186437.766528</v>
      </c>
      <c r="K105" s="220" t="n">
        <f aca="false">SUM(H105:J105)</f>
        <v>90086916.626623</v>
      </c>
    </row>
    <row r="106" customFormat="false" ht="12.75" hidden="false" customHeight="false" outlineLevel="0" collapsed="false">
      <c r="A106" s="204" t="n">
        <v>9</v>
      </c>
      <c r="B106" s="43" t="n">
        <f aca="false">B55</f>
        <v>110583</v>
      </c>
      <c r="C106" s="220" t="n">
        <f aca="false">C55*Prices!E$6</f>
        <v>57088686.590705</v>
      </c>
      <c r="D106" s="220" t="n">
        <f aca="false">D55*Prices!E$7</f>
        <v>17293445.099798</v>
      </c>
      <c r="E106" s="220" t="n">
        <f aca="false">E55*Prices!E$8</f>
        <v>42627987.752397</v>
      </c>
      <c r="F106" s="220" t="n">
        <f aca="false">SUM(C106:E106)</f>
        <v>117010119.4429</v>
      </c>
      <c r="G106" s="130" t="n">
        <f aca="false">(F106-K106)/K106</f>
        <v>0.138311598319364</v>
      </c>
      <c r="H106" s="220" t="n">
        <f aca="false">C55*Prices!E$6</f>
        <v>57088686.590705</v>
      </c>
      <c r="I106" s="220" t="n">
        <f aca="false">D55*Prices!$E$7</f>
        <v>17293445.099798</v>
      </c>
      <c r="J106" s="220" t="n">
        <f aca="false">E55*Prices!$E$7</f>
        <v>28410565.507397</v>
      </c>
      <c r="K106" s="220" t="n">
        <f aca="false">SUM(H106:J106)</f>
        <v>102792697.1979</v>
      </c>
    </row>
    <row r="107" customFormat="false" ht="12.75" hidden="false" customHeight="false" outlineLevel="0" collapsed="false">
      <c r="A107" s="204" t="n">
        <v>10</v>
      </c>
      <c r="B107" s="43" t="n">
        <f aca="false">B56</f>
        <v>133488</v>
      </c>
      <c r="C107" s="220" t="n">
        <f aca="false">C56*Prices!E$6</f>
        <v>68711320.795854</v>
      </c>
      <c r="D107" s="220" t="n">
        <f aca="false">D56*Prices!E$7</f>
        <v>21803414.718767</v>
      </c>
      <c r="E107" s="220" t="n">
        <f aca="false">E56*Prices!E$8</f>
        <v>62204808.026967</v>
      </c>
      <c r="F107" s="220" t="n">
        <f aca="false">SUM(C107:E107)</f>
        <v>152719543.541588</v>
      </c>
      <c r="G107" s="130" t="n">
        <f aca="false">(F107-K107)/K107</f>
        <v>0.157204712134065</v>
      </c>
      <c r="H107" s="220" t="n">
        <f aca="false">C56*Prices!E$6</f>
        <v>68711320.795854</v>
      </c>
      <c r="I107" s="220" t="n">
        <f aca="false">D56*Prices!$E$7</f>
        <v>21803414.718767</v>
      </c>
      <c r="J107" s="220" t="n">
        <f aca="false">E56*Prices!$E$7</f>
        <v>41458062.331967</v>
      </c>
      <c r="K107" s="220" t="n">
        <f aca="false">SUM(H107:J107)</f>
        <v>131972797.846588</v>
      </c>
    </row>
    <row r="108" customFormat="false" ht="12.75" hidden="false" customHeight="false" outlineLevel="0" collapsed="false">
      <c r="A108" s="204" t="n">
        <v>11</v>
      </c>
      <c r="B108" s="43" t="n">
        <f aca="false">B57</f>
        <v>202985</v>
      </c>
      <c r="C108" s="220" t="n">
        <f aca="false">C57*Prices!E$6</f>
        <v>104345521.20421</v>
      </c>
      <c r="D108" s="220" t="n">
        <f aca="false">D57*Prices!E$7</f>
        <v>34466511.022731</v>
      </c>
      <c r="E108" s="220" t="n">
        <f aca="false">E57*Prices!E$8</f>
        <v>125110246.68627</v>
      </c>
      <c r="F108" s="220" t="n">
        <f aca="false">SUM(C108:E108)</f>
        <v>263922278.913211</v>
      </c>
      <c r="G108" s="130" t="n">
        <f aca="false">(F108-K108)/K108</f>
        <v>0.18779516691035</v>
      </c>
      <c r="H108" s="220" t="n">
        <f aca="false">C57*Prices!E$6</f>
        <v>104345521.20421</v>
      </c>
      <c r="I108" s="220" t="n">
        <f aca="false">D57*Prices!$E$7</f>
        <v>34466511.022731</v>
      </c>
      <c r="J108" s="220" t="n">
        <f aca="false">E57*Prices!$E$7</f>
        <v>83383078.73627</v>
      </c>
      <c r="K108" s="220" t="n">
        <f aca="false">SUM(H108:J108)</f>
        <v>222195110.963211</v>
      </c>
    </row>
    <row r="109" customFormat="false" ht="12.75" hidden="false" customHeight="false" outlineLevel="0" collapsed="false">
      <c r="A109" s="204" t="n">
        <v>12</v>
      </c>
      <c r="B109" s="43" t="n">
        <f aca="false">B58</f>
        <v>1123916</v>
      </c>
      <c r="C109" s="220" t="n">
        <f aca="false">C58*Prices!E$6</f>
        <v>546763223.458507</v>
      </c>
      <c r="D109" s="220" t="n">
        <f aca="false">D58*Prices!E$7</f>
        <v>186456179.315778</v>
      </c>
      <c r="E109" s="220" t="n">
        <f aca="false">E58*Prices!E$8</f>
        <v>1336660191.92953</v>
      </c>
      <c r="F109" s="220" t="n">
        <f aca="false">SUM(C109:E109)</f>
        <v>2069879594.70381</v>
      </c>
      <c r="G109" s="130" t="n">
        <f aca="false">(F109-K109)/K109</f>
        <v>0.274499558125893</v>
      </c>
      <c r="H109" s="220" t="n">
        <f aca="false">C58*Prices!E$6</f>
        <v>546763223.458507</v>
      </c>
      <c r="I109" s="220" t="n">
        <f aca="false">D58*Prices!$E$7</f>
        <v>186456179.315778</v>
      </c>
      <c r="J109" s="220" t="n">
        <f aca="false">E58*Prices!$E$7</f>
        <v>890853027.464529</v>
      </c>
      <c r="K109" s="220" t="n">
        <f aca="false">SUM(H109:J109)</f>
        <v>1624072430.23881</v>
      </c>
    </row>
    <row r="110" customFormat="false" ht="12.75" hidden="false" customHeight="false" outlineLevel="0" collapsed="false">
      <c r="A110" s="204" t="s">
        <v>88</v>
      </c>
      <c r="B110" s="43" t="n">
        <f aca="false">SUM(B98:B109)</f>
        <v>2667041</v>
      </c>
      <c r="C110" s="43" t="n">
        <f aca="false">SUM(C98:C109)</f>
        <v>1315247797.03888</v>
      </c>
      <c r="D110" s="43" t="n">
        <f aca="false">SUM(D98:D109)</f>
        <v>361268585.868331</v>
      </c>
      <c r="E110" s="43" t="n">
        <f aca="false">SUM(E98:E109)</f>
        <v>1725745108.95839</v>
      </c>
      <c r="F110" s="43" t="n">
        <f aca="false">SUM(F98:F109)</f>
        <v>3402261491.8656</v>
      </c>
      <c r="G110" s="130" t="n">
        <f aca="false">(F110-K110)/K110</f>
        <v>0.203622231035349</v>
      </c>
      <c r="H110" s="220" t="n">
        <f aca="false">SUM(H98:H109)</f>
        <v>1315247797.03888</v>
      </c>
      <c r="I110" s="220" t="n">
        <f aca="false">SUM(I98:I109)</f>
        <v>361268585.868331</v>
      </c>
      <c r="J110" s="220" t="n">
        <f aca="false">SUM(J98:J109)</f>
        <v>1150169103.73339</v>
      </c>
      <c r="K110" s="220" t="n">
        <f aca="false">SUM(K98:K109)</f>
        <v>2826685486.6406</v>
      </c>
    </row>
    <row r="111" customFormat="false" ht="12.75" hidden="false" customHeight="false" outlineLevel="0" collapsed="false">
      <c r="I111" s="204" t="s">
        <v>170</v>
      </c>
    </row>
    <row r="112" customFormat="false" ht="12.75" hidden="false" customHeight="false" outlineLevel="0" collapsed="false">
      <c r="G112" s="204" t="s">
        <v>7</v>
      </c>
      <c r="H112" s="204" t="s">
        <v>7</v>
      </c>
      <c r="I112" s="204" t="s">
        <v>171</v>
      </c>
      <c r="J112" s="0"/>
      <c r="K112" s="0"/>
    </row>
    <row r="113" customFormat="false" ht="12.75" hidden="false" customHeight="false" outlineLevel="0" collapsed="false">
      <c r="A113" s="216"/>
      <c r="B113" s="217" t="s">
        <v>14</v>
      </c>
      <c r="C113" s="77" t="s">
        <v>43</v>
      </c>
      <c r="D113" s="77" t="s">
        <v>172</v>
      </c>
      <c r="E113" s="77" t="s">
        <v>45</v>
      </c>
      <c r="F113" s="77" t="s">
        <v>88</v>
      </c>
      <c r="G113" s="204" t="s">
        <v>14</v>
      </c>
      <c r="H113" s="204" t="s">
        <v>173</v>
      </c>
      <c r="I113" s="204" t="s">
        <v>173</v>
      </c>
      <c r="J113" s="0"/>
      <c r="K113" s="0"/>
    </row>
    <row r="114" customFormat="false" ht="12.75" hidden="false" customHeight="false" outlineLevel="0" collapsed="false">
      <c r="A114" s="204" t="s">
        <v>157</v>
      </c>
      <c r="B114" s="43" t="n">
        <f aca="false">B24+B40</f>
        <v>1121926</v>
      </c>
      <c r="C114" s="43" t="n">
        <f aca="false">C24+C40</f>
        <v>3206934101</v>
      </c>
      <c r="D114" s="43" t="n">
        <f aca="false">D24+D40</f>
        <v>63519513</v>
      </c>
      <c r="E114" s="43" t="n">
        <v>0</v>
      </c>
      <c r="F114" s="43" t="n">
        <f aca="false">SUM(C114:E114)</f>
        <v>3270453614</v>
      </c>
      <c r="G114" s="154" t="n">
        <f aca="false">B114/B$119</f>
        <v>0.296103397047269</v>
      </c>
      <c r="H114" s="5" t="n">
        <v>0</v>
      </c>
      <c r="J114" s="0"/>
      <c r="K114" s="0"/>
    </row>
    <row r="115" customFormat="false" ht="12.75" hidden="false" customHeight="false" outlineLevel="0" collapsed="false">
      <c r="A115" s="204" t="s">
        <v>158</v>
      </c>
      <c r="B115" s="43" t="n">
        <f aca="false">B47+B48+B49</f>
        <v>481914</v>
      </c>
      <c r="C115" s="43" t="n">
        <f aca="false">C47+C48+C49</f>
        <v>1909207317</v>
      </c>
      <c r="D115" s="43" t="n">
        <f aca="false">D47+D48+D49</f>
        <v>214244114</v>
      </c>
      <c r="E115" s="43" t="n">
        <f aca="false">E47+E48+E49</f>
        <v>109913310</v>
      </c>
      <c r="F115" s="43" t="n">
        <f aca="false">SUM(C115:E115)</f>
        <v>2233364741</v>
      </c>
      <c r="G115" s="154" t="n">
        <f aca="false">B115/B$119</f>
        <v>0.12718875619661</v>
      </c>
      <c r="H115" s="130" t="n">
        <f aca="false">(SUM(F98:F100)-SUM(K98:K100))/SUM(K98:K100)</f>
        <v>0.0274436230135338</v>
      </c>
      <c r="I115" s="130" t="n">
        <f aca="false">-(SUM(F98:F100)-SUM(K98:K100))/Prices!E$8/SUM(F$47:F$49)</f>
        <v>-0.0164140843415715</v>
      </c>
      <c r="J115" s="0" t="n">
        <f aca="false">F115*I115</f>
        <v>-36658637.224266</v>
      </c>
      <c r="K115" s="0"/>
    </row>
    <row r="116" customFormat="false" ht="12.75" hidden="false" customHeight="false" outlineLevel="0" collapsed="false">
      <c r="A116" s="204" t="s">
        <v>159</v>
      </c>
      <c r="B116" s="43" t="n">
        <f aca="false">B50+B51+B52+B53</f>
        <v>512133</v>
      </c>
      <c r="C116" s="43" t="n">
        <f aca="false">C50+C51+C52+C53</f>
        <v>2338815392</v>
      </c>
      <c r="D116" s="43" t="n">
        <f aca="false">D50+D51+D52+D53</f>
        <v>448894090</v>
      </c>
      <c r="E116" s="43" t="n">
        <f aca="false">E50+E51+E52+E53</f>
        <v>535852936</v>
      </c>
      <c r="F116" s="43" t="n">
        <f aca="false">SUM(C116:E116)</f>
        <v>3323562418</v>
      </c>
      <c r="G116" s="154" t="n">
        <f aca="false">B116/B$119</f>
        <v>0.135164280924062</v>
      </c>
      <c r="H116" s="130" t="n">
        <f aca="false">(SUM(F101:F104)-SUM(K101:K104))/SUM(K101:K104)</f>
        <v>0.0881255129173659</v>
      </c>
      <c r="I116" s="130" t="e">
        <f aca="false">-(SUM(F101:F104)-SUM(K101:K104))/#REF!/SUM(F$50:F$53)</f>
        <v>#REF!</v>
      </c>
      <c r="J116" s="0" t="e">
        <f aca="false">F116*I116</f>
        <v>#REF!</v>
      </c>
      <c r="K116" s="0"/>
    </row>
    <row r="117" customFormat="false" ht="12.75" hidden="false" customHeight="false" outlineLevel="0" collapsed="false">
      <c r="A117" s="204" t="s">
        <v>160</v>
      </c>
      <c r="B117" s="43" t="n">
        <f aca="false">B54+B55+B56+B57</f>
        <v>549078</v>
      </c>
      <c r="C117" s="43" t="n">
        <f aca="false">C54+C55+C56+C57</f>
        <v>2475318063</v>
      </c>
      <c r="D117" s="43" t="n">
        <f aca="false">D54+D55+D56+D57</f>
        <v>682721773</v>
      </c>
      <c r="E117" s="43" t="n">
        <f aca="false">E54+E55+E56+E57</f>
        <v>1350677458</v>
      </c>
      <c r="F117" s="43" t="n">
        <f aca="false">SUM(C117:E117)</f>
        <v>4508717294</v>
      </c>
      <c r="G117" s="154" t="n">
        <f aca="false">B117/B$119</f>
        <v>0.144914959671066</v>
      </c>
      <c r="H117" s="130" t="n">
        <f aca="false">(SUM(F105:F108)-SUM(K105:K108))/SUM(K105:K108)</f>
        <v>0.160487034741014</v>
      </c>
      <c r="I117" s="130" t="e">
        <f aca="false">-(SUM(F105:F108)-SUM(K105:K108))/#REF!/SUM(F$54:F$57)</f>
        <v>#REF!</v>
      </c>
      <c r="J117" s="0" t="e">
        <f aca="false">F117*I117</f>
        <v>#REF!</v>
      </c>
      <c r="K117" s="0"/>
    </row>
    <row r="118" customFormat="false" ht="12.75" hidden="false" customHeight="false" outlineLevel="0" collapsed="false">
      <c r="A118" s="164" t="s">
        <v>161</v>
      </c>
      <c r="B118" s="169" t="n">
        <f aca="false">B58</f>
        <v>1123916</v>
      </c>
      <c r="C118" s="169" t="n">
        <f aca="false">C58</f>
        <v>4783538407</v>
      </c>
      <c r="D118" s="169" t="n">
        <f aca="false">D58</f>
        <v>1435504002</v>
      </c>
      <c r="E118" s="169" t="n">
        <f aca="false">E58</f>
        <v>6858571761</v>
      </c>
      <c r="F118" s="169" t="n">
        <f aca="false">SUM(C118:E118)</f>
        <v>13077614170</v>
      </c>
      <c r="G118" s="155" t="n">
        <f aca="false">B118/B$119</f>
        <v>0.296628606160993</v>
      </c>
      <c r="H118" s="218" t="n">
        <f aca="false">G109</f>
        <v>0.274499558125893</v>
      </c>
      <c r="I118" s="219" t="n">
        <f aca="false">-(F109-K109)/Prices!E$9/F$58</f>
        <v>-0.118002428751975</v>
      </c>
      <c r="J118" s="0" t="n">
        <f aca="false">F118*I118</f>
        <v>-1543190234.34125</v>
      </c>
      <c r="K118" s="0"/>
    </row>
    <row r="119" customFormat="false" ht="12.75" hidden="false" customHeight="false" outlineLevel="0" collapsed="false">
      <c r="A119" s="204" t="s">
        <v>88</v>
      </c>
      <c r="B119" s="43" t="n">
        <f aca="false">SUM(B114:B118)</f>
        <v>3788967</v>
      </c>
      <c r="C119" s="43" t="n">
        <f aca="false">SUM(C114:C118)</f>
        <v>14713813280</v>
      </c>
      <c r="D119" s="43" t="n">
        <f aca="false">SUM(D114:D118)</f>
        <v>2844883492</v>
      </c>
      <c r="E119" s="43" t="n">
        <f aca="false">SUM(E114:E118)</f>
        <v>8855015465</v>
      </c>
      <c r="F119" s="43" t="n">
        <f aca="false">SUM(F114:F118)</f>
        <v>26413712237</v>
      </c>
      <c r="G119" s="154" t="n">
        <f aca="false">B119/B$119</f>
        <v>1</v>
      </c>
      <c r="H119" s="130" t="n">
        <v>0.2</v>
      </c>
      <c r="I119" s="130" t="e">
        <f aca="false">J119/F119</f>
        <v>#REF!</v>
      </c>
      <c r="J119" s="0" t="e">
        <f aca="false">SUM(J115:J118)</f>
        <v>#REF!</v>
      </c>
      <c r="K119" s="0"/>
    </row>
  </sheetData>
  <mergeCells count="1">
    <mergeCell ref="A1:E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&amp;CPacific Gas and Electric Company
Rate Design Workpapers
3 Cent Surcharge</oddHeader>
    <oddFooter>&amp;L&amp;D  &amp;T&amp;R&amp;F 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05"/>
  <sheetViews>
    <sheetView showFormulas="false" showGridLines="true" showRowColHeaders="true" showZeros="true" rightToLeft="false" tabSelected="false" showOutlineSymbols="true" defaultGridColor="true" view="normal" topLeftCell="A89" colorId="64" zoomScale="100" zoomScaleNormal="100" zoomScalePageLayoutView="100" workbookViewId="0">
      <selection pane="topLeft" activeCell="G91" activeCellId="0" sqref="G9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4" width="13.99"/>
    <col collapsed="false" customWidth="true" hidden="false" outlineLevel="0" max="2" min="2" style="43" width="10.13"/>
    <col collapsed="false" customWidth="true" hidden="false" outlineLevel="0" max="3" min="3" style="43" width="13.7"/>
    <col collapsed="false" customWidth="true" hidden="false" outlineLevel="0" max="4" min="4" style="43" width="13.99"/>
    <col collapsed="false" customWidth="true" hidden="false" outlineLevel="0" max="5" min="5" style="43" width="14.7"/>
    <col collapsed="false" customWidth="true" hidden="false" outlineLevel="0" max="6" min="6" style="5" width="13.85"/>
    <col collapsed="false" customWidth="true" hidden="false" outlineLevel="0" max="7" min="7" style="5" width="10.28"/>
    <col collapsed="false" customWidth="true" hidden="false" outlineLevel="0" max="8" min="8" style="5" width="11.42"/>
    <col collapsed="false" customWidth="true" hidden="false" outlineLevel="0" max="9" min="9" style="5" width="14.56"/>
    <col collapsed="false" customWidth="true" hidden="false" outlineLevel="0" max="11" min="10" style="5" width="11.7"/>
  </cols>
  <sheetData>
    <row r="1" customFormat="false" ht="12.75" hidden="false" customHeight="false" outlineLevel="0" collapsed="false">
      <c r="A1" s="4" t="s">
        <v>174</v>
      </c>
      <c r="B1" s="4"/>
      <c r="C1" s="4"/>
      <c r="D1" s="4"/>
      <c r="E1" s="4"/>
    </row>
    <row r="2" customFormat="false" ht="12.75" hidden="false" customHeight="false" outlineLevel="0" collapsed="false">
      <c r="A2" s="9"/>
      <c r="B2" s="195"/>
      <c r="C2" s="196" t="s">
        <v>124</v>
      </c>
      <c r="D2" s="196" t="s">
        <v>175</v>
      </c>
      <c r="E2" s="196" t="s">
        <v>176</v>
      </c>
      <c r="F2" s="47"/>
    </row>
    <row r="3" customFormat="false" ht="12.75" hidden="false" customHeight="false" outlineLevel="0" collapsed="false">
      <c r="A3" s="142"/>
      <c r="B3" s="165"/>
      <c r="C3" s="206" t="s">
        <v>43</v>
      </c>
      <c r="D3" s="206" t="s">
        <v>44</v>
      </c>
      <c r="E3" s="206" t="s">
        <v>45</v>
      </c>
      <c r="F3" s="48" t="s">
        <v>88</v>
      </c>
    </row>
    <row r="4" customFormat="false" ht="12.75" hidden="false" customHeight="false" outlineLevel="0" collapsed="false">
      <c r="A4" s="49" t="s">
        <v>136</v>
      </c>
      <c r="B4" s="207" t="s">
        <v>14</v>
      </c>
      <c r="C4" s="208" t="n">
        <f aca="false">C70</f>
        <v>0.664559661947338</v>
      </c>
      <c r="D4" s="208" t="n">
        <f aca="false">D70</f>
        <v>0.160034879576734</v>
      </c>
      <c r="E4" s="208" t="n">
        <f aca="false">E70</f>
        <v>0.175405458475928</v>
      </c>
      <c r="F4" s="221" t="n">
        <f aca="false">SUM(C4:E4)</f>
        <v>1</v>
      </c>
    </row>
    <row r="5" customFormat="false" ht="12.75" hidden="false" customHeight="false" outlineLevel="0" collapsed="false">
      <c r="A5" s="13" t="s">
        <v>124</v>
      </c>
      <c r="B5" s="22" t="n">
        <f aca="false">B24</f>
        <v>1114922</v>
      </c>
      <c r="C5" s="22" t="n">
        <f aca="false">C24</f>
        <v>3254925249</v>
      </c>
      <c r="D5" s="154"/>
      <c r="E5" s="22"/>
      <c r="F5" s="91" t="n">
        <f aca="false">SUM(B5:E5)</f>
        <v>3256040171</v>
      </c>
    </row>
    <row r="6" customFormat="false" ht="12.75" hidden="false" customHeight="false" outlineLevel="0" collapsed="false">
      <c r="A6" s="13" t="s">
        <v>175</v>
      </c>
      <c r="B6" s="27" t="n">
        <f aca="false">B40</f>
        <v>943787</v>
      </c>
      <c r="C6" s="27" t="n">
        <f aca="false">C40</f>
        <v>4651632690</v>
      </c>
      <c r="D6" s="27" t="n">
        <f aca="false">D40</f>
        <v>405067488</v>
      </c>
      <c r="E6" s="22"/>
      <c r="F6" s="91" t="n">
        <f aca="false">SUM(B6:E6)</f>
        <v>5057643965</v>
      </c>
    </row>
    <row r="7" customFormat="false" ht="12.75" hidden="false" customHeight="false" outlineLevel="0" collapsed="false">
      <c r="A7" s="17" t="s">
        <v>97</v>
      </c>
      <c r="B7" s="30" t="n">
        <f aca="false">B59</f>
        <v>1723254</v>
      </c>
      <c r="C7" s="30" t="n">
        <f aca="false">C59</f>
        <v>9636610211</v>
      </c>
      <c r="D7" s="30" t="n">
        <f aca="false">D59</f>
        <v>3819562689</v>
      </c>
      <c r="E7" s="30" t="n">
        <f aca="false">E59</f>
        <v>4630385545</v>
      </c>
      <c r="F7" s="92" t="n">
        <f aca="false">SUM(B7:E7)</f>
        <v>18088281699</v>
      </c>
    </row>
    <row r="8" customFormat="false" ht="12.75" hidden="false" customHeight="false" outlineLevel="0" collapsed="false">
      <c r="A8" s="53" t="s">
        <v>88</v>
      </c>
      <c r="B8" s="38" t="n">
        <f aca="false">SUM(B5:B7)</f>
        <v>3781963</v>
      </c>
      <c r="C8" s="38" t="n">
        <f aca="false">SUM(C5:C7)</f>
        <v>17543168150</v>
      </c>
      <c r="D8" s="38" t="n">
        <f aca="false">SUM(D5:D7)</f>
        <v>4224630177</v>
      </c>
      <c r="E8" s="38" t="n">
        <f aca="false">SUM(E5:E7)</f>
        <v>4630385545</v>
      </c>
      <c r="F8" s="93" t="n">
        <f aca="false">SUM(F5:F7)</f>
        <v>26401965835</v>
      </c>
    </row>
    <row r="9" customFormat="false" ht="12.75" hidden="false" customHeight="false" outlineLevel="0" collapsed="false">
      <c r="C9" s="0"/>
      <c r="D9" s="0"/>
      <c r="E9" s="0"/>
      <c r="F9" s="0"/>
    </row>
    <row r="10" customFormat="false" ht="12.75" hidden="false" customHeight="false" outlineLevel="0" collapsed="false">
      <c r="A10" s="210" t="s">
        <v>139</v>
      </c>
      <c r="B10" s="222" t="s">
        <v>177</v>
      </c>
      <c r="G10" s="5" t="s">
        <v>140</v>
      </c>
      <c r="H10" s="5" t="s">
        <v>140</v>
      </c>
    </row>
    <row r="11" customFormat="false" ht="12.75" hidden="false" customHeight="false" outlineLevel="0" collapsed="false">
      <c r="A11" s="212" t="s">
        <v>141</v>
      </c>
      <c r="B11" s="213" t="s">
        <v>110</v>
      </c>
      <c r="C11" s="213" t="s">
        <v>126</v>
      </c>
      <c r="D11" s="214"/>
      <c r="E11" s="214"/>
      <c r="F11" s="214" t="s">
        <v>63</v>
      </c>
      <c r="G11" s="214" t="s">
        <v>14</v>
      </c>
      <c r="H11" s="214" t="s">
        <v>142</v>
      </c>
      <c r="I11" s="214"/>
      <c r="J11" s="214"/>
      <c r="K11" s="214"/>
    </row>
    <row r="12" customFormat="false" ht="12.75" hidden="false" customHeight="false" outlineLevel="0" collapsed="false">
      <c r="A12" s="204" t="n">
        <v>1</v>
      </c>
      <c r="B12" s="0" t="n">
        <v>4706</v>
      </c>
      <c r="C12" s="0" t="n">
        <v>576524</v>
      </c>
    </row>
    <row r="13" customFormat="false" ht="12.75" hidden="false" customHeight="false" outlineLevel="0" collapsed="false">
      <c r="A13" s="204" t="n">
        <v>2</v>
      </c>
      <c r="B13" s="0" t="n">
        <v>4343</v>
      </c>
      <c r="C13" s="0" t="n">
        <v>1234657</v>
      </c>
    </row>
    <row r="14" customFormat="false" ht="12.75" hidden="false" customHeight="false" outlineLevel="0" collapsed="false">
      <c r="A14" s="204" t="n">
        <v>3</v>
      </c>
      <c r="B14" s="0" t="n">
        <v>4053</v>
      </c>
      <c r="C14" s="0" t="n">
        <v>2007481</v>
      </c>
    </row>
    <row r="15" customFormat="false" ht="12.75" hidden="false" customHeight="false" outlineLevel="0" collapsed="false">
      <c r="A15" s="204" t="n">
        <v>4</v>
      </c>
      <c r="B15" s="0" t="n">
        <v>3291</v>
      </c>
      <c r="C15" s="0" t="n">
        <v>2281155</v>
      </c>
    </row>
    <row r="16" customFormat="false" ht="12.75" hidden="false" customHeight="false" outlineLevel="0" collapsed="false">
      <c r="A16" s="204" t="n">
        <v>5</v>
      </c>
      <c r="B16" s="0" t="n">
        <v>2944</v>
      </c>
      <c r="C16" s="0" t="n">
        <v>2913619</v>
      </c>
    </row>
    <row r="17" customFormat="false" ht="12.75" hidden="false" customHeight="false" outlineLevel="0" collapsed="false">
      <c r="A17" s="204" t="n">
        <v>6</v>
      </c>
      <c r="B17" s="0" t="n">
        <v>3337</v>
      </c>
      <c r="C17" s="0" t="n">
        <v>3939361</v>
      </c>
    </row>
    <row r="18" customFormat="false" ht="12.75" hidden="false" customHeight="false" outlineLevel="0" collapsed="false">
      <c r="A18" s="204" t="n">
        <v>7</v>
      </c>
      <c r="B18" s="0" t="n">
        <v>3356</v>
      </c>
      <c r="C18" s="0" t="n">
        <v>4824972</v>
      </c>
    </row>
    <row r="19" customFormat="false" ht="12.75" hidden="false" customHeight="false" outlineLevel="0" collapsed="false">
      <c r="A19" s="204" t="n">
        <v>8</v>
      </c>
      <c r="B19" s="0" t="n">
        <v>3673</v>
      </c>
      <c r="C19" s="0" t="n">
        <v>6395864</v>
      </c>
    </row>
    <row r="20" customFormat="false" ht="12.75" hidden="false" customHeight="false" outlineLevel="0" collapsed="false">
      <c r="A20" s="204" t="n">
        <v>9</v>
      </c>
      <c r="B20" s="0" t="n">
        <v>4298</v>
      </c>
      <c r="C20" s="0" t="n">
        <v>8090823</v>
      </c>
    </row>
    <row r="21" customFormat="false" ht="12.75" hidden="false" customHeight="false" outlineLevel="0" collapsed="false">
      <c r="A21" s="204" t="n">
        <v>10</v>
      </c>
      <c r="B21" s="0" t="n">
        <v>6386</v>
      </c>
      <c r="C21" s="0" t="n">
        <v>13944063</v>
      </c>
    </row>
    <row r="22" customFormat="false" ht="12.75" hidden="false" customHeight="false" outlineLevel="0" collapsed="false">
      <c r="A22" s="204" t="n">
        <v>11</v>
      </c>
      <c r="B22" s="0" t="n">
        <v>16582</v>
      </c>
      <c r="C22" s="0" t="n">
        <v>42573238</v>
      </c>
    </row>
    <row r="23" customFormat="false" ht="12.75" hidden="false" customHeight="false" outlineLevel="0" collapsed="false">
      <c r="A23" s="204" t="n">
        <v>12</v>
      </c>
      <c r="B23" s="0" t="n">
        <v>1057953</v>
      </c>
      <c r="C23" s="0" t="n">
        <v>3166143492</v>
      </c>
      <c r="H23" s="215"/>
    </row>
    <row r="24" customFormat="false" ht="12.75" hidden="false" customHeight="false" outlineLevel="0" collapsed="false">
      <c r="B24" s="43" t="n">
        <f aca="false">SUM(B12:B23)</f>
        <v>1114922</v>
      </c>
      <c r="C24" s="43" t="n">
        <f aca="false">SUM(C12:C23)</f>
        <v>3254925249</v>
      </c>
      <c r="D24" s="5"/>
      <c r="E24" s="5"/>
      <c r="F24" s="43" t="n">
        <f aca="false">SUM(C24:E24)</f>
        <v>3254925249</v>
      </c>
      <c r="G24" s="154" t="n">
        <f aca="false">B24/B$69</f>
        <v>0.294799816920472</v>
      </c>
      <c r="H24" s="130" t="n">
        <f aca="false">F24/F$69</f>
        <v>0.12330110528749</v>
      </c>
    </row>
    <row r="25" customFormat="false" ht="12.75" hidden="false" customHeight="false" outlineLevel="0" collapsed="false">
      <c r="D25" s="5"/>
      <c r="E25" s="5"/>
    </row>
    <row r="26" customFormat="false" ht="12.75" hidden="false" customHeight="false" outlineLevel="0" collapsed="false">
      <c r="A26" s="210" t="s">
        <v>139</v>
      </c>
      <c r="C26" s="43" t="s">
        <v>124</v>
      </c>
      <c r="D26" s="204" t="s">
        <v>178</v>
      </c>
      <c r="E26" s="5"/>
    </row>
    <row r="27" customFormat="false" ht="12.75" hidden="false" customHeight="false" outlineLevel="0" collapsed="false">
      <c r="A27" s="212" t="s">
        <v>143</v>
      </c>
      <c r="B27" s="213" t="s">
        <v>110</v>
      </c>
      <c r="C27" s="213" t="s">
        <v>126</v>
      </c>
      <c r="D27" s="213" t="s">
        <v>127</v>
      </c>
      <c r="F27" s="214" t="s">
        <v>88</v>
      </c>
      <c r="G27" s="214"/>
      <c r="H27" s="214"/>
      <c r="I27" s="214"/>
      <c r="J27" s="214"/>
      <c r="K27" s="214"/>
    </row>
    <row r="28" customFormat="false" ht="12.75" hidden="false" customHeight="false" outlineLevel="0" collapsed="false">
      <c r="A28" s="204" t="n">
        <v>1</v>
      </c>
      <c r="B28" s="0" t="n">
        <v>181382</v>
      </c>
      <c r="C28" s="223" t="n">
        <v>754134294</v>
      </c>
      <c r="D28" s="223" t="n">
        <v>10401552</v>
      </c>
      <c r="F28" s="43" t="n">
        <f aca="false">SUM(C28:D28)</f>
        <v>764535846</v>
      </c>
      <c r="I28" s="154" t="n">
        <f aca="false">D28/F28</f>
        <v>0.0136050546935375</v>
      </c>
    </row>
    <row r="29" customFormat="false" ht="12.75" hidden="false" customHeight="false" outlineLevel="0" collapsed="false">
      <c r="A29" s="204" t="n">
        <v>2</v>
      </c>
      <c r="B29" s="0" t="n">
        <v>131747</v>
      </c>
      <c r="C29" s="223" t="n">
        <v>603566488</v>
      </c>
      <c r="D29" s="223" t="n">
        <v>18693280</v>
      </c>
      <c r="F29" s="43" t="n">
        <f aca="false">SUM(C29:D29)</f>
        <v>622259768</v>
      </c>
      <c r="I29" s="154" t="n">
        <f aca="false">D29/F29</f>
        <v>0.030040958714207</v>
      </c>
    </row>
    <row r="30" customFormat="false" ht="12.75" hidden="false" customHeight="false" outlineLevel="0" collapsed="false">
      <c r="A30" s="204" t="n">
        <v>3</v>
      </c>
      <c r="B30" s="0" t="n">
        <v>107988</v>
      </c>
      <c r="C30" s="223" t="n">
        <v>526963260</v>
      </c>
      <c r="D30" s="223" t="n">
        <v>25984429</v>
      </c>
      <c r="F30" s="43" t="n">
        <f aca="false">SUM(C30:D30)</f>
        <v>552947689</v>
      </c>
      <c r="I30" s="154" t="n">
        <f aca="false">D30/F30</f>
        <v>0.0469925627991909</v>
      </c>
    </row>
    <row r="31" customFormat="false" ht="12.75" hidden="false" customHeight="false" outlineLevel="0" collapsed="false">
      <c r="A31" s="204" t="n">
        <v>4</v>
      </c>
      <c r="B31" s="0" t="n">
        <v>90464</v>
      </c>
      <c r="C31" s="223" t="n">
        <v>462146350</v>
      </c>
      <c r="D31" s="223" t="n">
        <v>29369092</v>
      </c>
      <c r="F31" s="43" t="n">
        <f aca="false">SUM(C31:D31)</f>
        <v>491515442</v>
      </c>
      <c r="I31" s="154" t="n">
        <f aca="false">D31/F31</f>
        <v>0.0597521247358898</v>
      </c>
    </row>
    <row r="32" customFormat="false" ht="12.75" hidden="false" customHeight="false" outlineLevel="0" collapsed="false">
      <c r="A32" s="204" t="n">
        <v>5</v>
      </c>
      <c r="B32" s="0" t="n">
        <v>75518</v>
      </c>
      <c r="C32" s="223" t="n">
        <v>406507158</v>
      </c>
      <c r="D32" s="223" t="n">
        <v>30671338</v>
      </c>
      <c r="F32" s="43" t="n">
        <f aca="false">SUM(C32:D32)</f>
        <v>437178496</v>
      </c>
      <c r="I32" s="154" t="n">
        <f aca="false">D32/F32</f>
        <v>0.0701574717892803</v>
      </c>
    </row>
    <row r="33" customFormat="false" ht="12.75" hidden="false" customHeight="false" outlineLevel="0" collapsed="false">
      <c r="A33" s="204" t="n">
        <v>6</v>
      </c>
      <c r="B33" s="0" t="n">
        <v>63606</v>
      </c>
      <c r="C33" s="223" t="n">
        <v>354686696</v>
      </c>
      <c r="D33" s="223" t="n">
        <v>31971661</v>
      </c>
      <c r="F33" s="43" t="n">
        <f aca="false">SUM(C33:D33)</f>
        <v>386658357</v>
      </c>
      <c r="I33" s="154" t="n">
        <f aca="false">D33/F33</f>
        <v>0.0826871071611159</v>
      </c>
    </row>
    <row r="34" customFormat="false" ht="12.75" hidden="false" customHeight="false" outlineLevel="0" collapsed="false">
      <c r="A34" s="204" t="n">
        <v>7</v>
      </c>
      <c r="B34" s="0" t="n">
        <v>47751</v>
      </c>
      <c r="C34" s="223" t="n">
        <v>255638462</v>
      </c>
      <c r="D34" s="223" t="n">
        <v>26152027</v>
      </c>
      <c r="F34" s="43" t="n">
        <f aca="false">SUM(C34:D34)</f>
        <v>281790489</v>
      </c>
      <c r="I34" s="154" t="n">
        <f aca="false">D34/F34</f>
        <v>0.0928066347902892</v>
      </c>
    </row>
    <row r="35" customFormat="false" ht="12.75" hidden="false" customHeight="false" outlineLevel="0" collapsed="false">
      <c r="A35" s="204" t="n">
        <v>8</v>
      </c>
      <c r="B35" s="0" t="n">
        <v>41490</v>
      </c>
      <c r="C35" s="223" t="n">
        <v>224766646</v>
      </c>
      <c r="D35" s="223" t="n">
        <v>26095064</v>
      </c>
      <c r="F35" s="43" t="n">
        <f aca="false">SUM(C35:D35)</f>
        <v>250861710</v>
      </c>
      <c r="I35" s="154" t="n">
        <f aca="false">D35/F35</f>
        <v>0.104021709809759</v>
      </c>
    </row>
    <row r="36" customFormat="false" ht="12.75" hidden="false" customHeight="false" outlineLevel="0" collapsed="false">
      <c r="A36" s="204" t="n">
        <v>9</v>
      </c>
      <c r="B36" s="0" t="n">
        <v>38809</v>
      </c>
      <c r="C36" s="223" t="n">
        <v>206669202</v>
      </c>
      <c r="D36" s="223" t="n">
        <v>27806829</v>
      </c>
      <c r="F36" s="43" t="n">
        <f aca="false">SUM(C36:D36)</f>
        <v>234476031</v>
      </c>
      <c r="I36" s="154" t="n">
        <f aca="false">D36/F36</f>
        <v>0.118591349748666</v>
      </c>
    </row>
    <row r="37" customFormat="false" ht="12.75" hidden="false" customHeight="false" outlineLevel="0" collapsed="false">
      <c r="A37" s="204" t="n">
        <v>10</v>
      </c>
      <c r="B37" s="0" t="n">
        <v>39056</v>
      </c>
      <c r="C37" s="223" t="n">
        <v>204459674</v>
      </c>
      <c r="D37" s="223" t="n">
        <v>31976833</v>
      </c>
      <c r="F37" s="43" t="n">
        <f aca="false">SUM(C37:D37)</f>
        <v>236436507</v>
      </c>
      <c r="I37" s="154" t="n">
        <f aca="false">D37/F37</f>
        <v>0.135244905305592</v>
      </c>
    </row>
    <row r="38" customFormat="false" ht="12.75" hidden="false" customHeight="false" outlineLevel="0" collapsed="false">
      <c r="A38" s="204" t="n">
        <v>11</v>
      </c>
      <c r="B38" s="0" t="n">
        <v>44373</v>
      </c>
      <c r="C38" s="223" t="n">
        <v>230505124</v>
      </c>
      <c r="D38" s="223" t="n">
        <v>42476052</v>
      </c>
      <c r="F38" s="43" t="n">
        <f aca="false">SUM(C38:D38)</f>
        <v>272981176</v>
      </c>
      <c r="I38" s="154" t="n">
        <f aca="false">D38/F38</f>
        <v>0.155600663102133</v>
      </c>
    </row>
    <row r="39" customFormat="false" ht="12.75" hidden="false" customHeight="false" outlineLevel="0" collapsed="false">
      <c r="A39" s="204" t="n">
        <v>12</v>
      </c>
      <c r="B39" s="0" t="n">
        <v>81603</v>
      </c>
      <c r="C39" s="223" t="n">
        <v>421589336</v>
      </c>
      <c r="D39" s="223" t="n">
        <v>103469331</v>
      </c>
      <c r="F39" s="43" t="n">
        <f aca="false">SUM(C39:D39)</f>
        <v>525058667</v>
      </c>
      <c r="I39" s="154" t="n">
        <f aca="false">D39/F39</f>
        <v>0.197062418931559</v>
      </c>
    </row>
    <row r="40" customFormat="false" ht="12.75" hidden="false" customHeight="false" outlineLevel="0" collapsed="false">
      <c r="B40" s="43" t="n">
        <f aca="false">SUM(B28:B39)</f>
        <v>943787</v>
      </c>
      <c r="C40" s="43" t="n">
        <f aca="false">SUM(C28:C39)</f>
        <v>4651632690</v>
      </c>
      <c r="D40" s="43" t="n">
        <f aca="false">SUM(D28:D39)</f>
        <v>405067488</v>
      </c>
      <c r="F40" s="43" t="n">
        <f aca="false">SUM(F28:F39)</f>
        <v>5056700178</v>
      </c>
      <c r="G40" s="154" t="n">
        <f aca="false">B40/B$69</f>
        <v>0.249549506433564</v>
      </c>
      <c r="H40" s="130" t="n">
        <f aca="false">F40/F$69</f>
        <v>0.191554850989713</v>
      </c>
    </row>
    <row r="41" customFormat="false" ht="12.75" hidden="false" customHeight="false" outlineLevel="0" collapsed="false">
      <c r="C41" s="154"/>
      <c r="D41" s="154"/>
      <c r="E41" s="154"/>
    </row>
    <row r="42" customFormat="false" ht="12.75" hidden="false" customHeight="false" outlineLevel="0" collapsed="false">
      <c r="D42" s="154"/>
      <c r="F42" s="43"/>
      <c r="G42" s="154"/>
    </row>
    <row r="43" customFormat="false" ht="12.75" hidden="false" customHeight="false" outlineLevel="0" collapsed="false">
      <c r="D43" s="154"/>
      <c r="E43" s="154"/>
      <c r="G43" s="154"/>
    </row>
    <row r="44" customFormat="false" ht="12.75" hidden="false" customHeight="false" outlineLevel="0" collapsed="false">
      <c r="A44" s="210" t="s">
        <v>139</v>
      </c>
      <c r="C44" s="154" t="s">
        <v>124</v>
      </c>
      <c r="D44" s="154" t="s">
        <v>175</v>
      </c>
      <c r="E44" s="154" t="s">
        <v>176</v>
      </c>
    </row>
    <row r="45" customFormat="false" ht="12.75" hidden="false" customHeight="false" outlineLevel="0" collapsed="false">
      <c r="A45" s="212" t="s">
        <v>144</v>
      </c>
      <c r="B45" s="213" t="s">
        <v>110</v>
      </c>
      <c r="C45" s="213" t="s">
        <v>126</v>
      </c>
      <c r="D45" s="213" t="s">
        <v>127</v>
      </c>
      <c r="E45" s="213" t="s">
        <v>128</v>
      </c>
      <c r="F45" s="214"/>
      <c r="G45" s="214"/>
      <c r="H45" s="214"/>
      <c r="I45" s="214"/>
      <c r="J45" s="214"/>
      <c r="K45" s="214"/>
    </row>
    <row r="47" customFormat="false" ht="12.75" hidden="false" customHeight="false" outlineLevel="0" collapsed="false">
      <c r="A47" s="204" t="n">
        <v>1</v>
      </c>
      <c r="B47" s="223" t="n">
        <v>233028</v>
      </c>
      <c r="C47" s="223" t="n">
        <v>1215780342</v>
      </c>
      <c r="D47" s="223" t="n">
        <v>237192906</v>
      </c>
      <c r="E47" s="223" t="n">
        <v>29068925</v>
      </c>
      <c r="F47" s="43" t="n">
        <f aca="false">SUM(C47:E47)</f>
        <v>1482042173</v>
      </c>
      <c r="I47" s="154" t="n">
        <f aca="false">E47/F47</f>
        <v>0.0196141010894162</v>
      </c>
    </row>
    <row r="48" customFormat="false" ht="12.75" hidden="false" customHeight="false" outlineLevel="0" collapsed="false">
      <c r="A48" s="204" t="n">
        <v>2</v>
      </c>
      <c r="B48" s="223" t="n">
        <v>168234</v>
      </c>
      <c r="C48" s="223" t="n">
        <v>925527780</v>
      </c>
      <c r="D48" s="223" t="n">
        <v>229100141</v>
      </c>
      <c r="E48" s="223" t="n">
        <v>47146784</v>
      </c>
      <c r="F48" s="43" t="n">
        <f aca="false">SUM(C48:E48)</f>
        <v>1201774705</v>
      </c>
      <c r="I48" s="154" t="n">
        <f aca="false">E48/F48</f>
        <v>0.0392309671720042</v>
      </c>
    </row>
    <row r="49" customFormat="false" ht="12.75" hidden="false" customHeight="false" outlineLevel="0" collapsed="false">
      <c r="A49" s="204" t="n">
        <v>3</v>
      </c>
      <c r="B49" s="223" t="n">
        <v>145948</v>
      </c>
      <c r="C49" s="223" t="n">
        <v>832142770</v>
      </c>
      <c r="D49" s="223" t="n">
        <v>240431119</v>
      </c>
      <c r="E49" s="223" t="n">
        <v>76356835</v>
      </c>
      <c r="F49" s="43" t="n">
        <f aca="false">SUM(C49:E49)</f>
        <v>1148930724</v>
      </c>
      <c r="I49" s="154" t="n">
        <f aca="false">E49/F49</f>
        <v>0.066459041789886</v>
      </c>
    </row>
    <row r="50" customFormat="false" ht="12.75" hidden="false" customHeight="false" outlineLevel="0" collapsed="false">
      <c r="A50" s="204" t="n">
        <v>4</v>
      </c>
      <c r="B50" s="223" t="n">
        <v>135662</v>
      </c>
      <c r="C50" s="223" t="n">
        <v>787124151</v>
      </c>
      <c r="D50" s="223" t="n">
        <v>258194805</v>
      </c>
      <c r="E50" s="223" t="n">
        <v>115442674</v>
      </c>
      <c r="F50" s="43" t="n">
        <f aca="false">SUM(C50:E50)</f>
        <v>1160761630</v>
      </c>
      <c r="G50" s="43"/>
      <c r="I50" s="154" t="n">
        <f aca="false">E50/F50</f>
        <v>0.0994542471222106</v>
      </c>
    </row>
    <row r="51" customFormat="false" ht="12.75" hidden="false" customHeight="false" outlineLevel="0" collapsed="false">
      <c r="A51" s="204" t="n">
        <v>5</v>
      </c>
      <c r="B51" s="223" t="n">
        <v>116748</v>
      </c>
      <c r="C51" s="223" t="n">
        <v>704888560</v>
      </c>
      <c r="D51" s="223" t="n">
        <v>254541551</v>
      </c>
      <c r="E51" s="223" t="n">
        <v>139426545</v>
      </c>
      <c r="F51" s="43" t="n">
        <f aca="false">SUM(C51:E51)</f>
        <v>1098856656</v>
      </c>
      <c r="I51" s="154" t="n">
        <f aca="false">E51/F51</f>
        <v>0.126883287495872</v>
      </c>
    </row>
    <row r="52" customFormat="false" ht="12.75" hidden="false" customHeight="false" outlineLevel="0" collapsed="false">
      <c r="A52" s="204" t="n">
        <v>6</v>
      </c>
      <c r="B52" s="223" t="n">
        <v>95884</v>
      </c>
      <c r="C52" s="223" t="n">
        <v>587568847</v>
      </c>
      <c r="D52" s="223" t="n">
        <v>235152589</v>
      </c>
      <c r="E52" s="223" t="n">
        <v>141839199</v>
      </c>
      <c r="F52" s="43" t="n">
        <f aca="false">SUM(C52:E52)</f>
        <v>964560635</v>
      </c>
      <c r="I52" s="154" t="n">
        <f aca="false">E52/F52</f>
        <v>0.147050578111142</v>
      </c>
    </row>
    <row r="53" customFormat="false" ht="12.75" hidden="false" customHeight="false" outlineLevel="0" collapsed="false">
      <c r="A53" s="204" t="n">
        <v>7</v>
      </c>
      <c r="B53" s="223" t="n">
        <v>76416</v>
      </c>
      <c r="C53" s="223" t="n">
        <v>443435406</v>
      </c>
      <c r="D53" s="223" t="n">
        <v>198792262</v>
      </c>
      <c r="E53" s="223" t="n">
        <v>130014941</v>
      </c>
      <c r="F53" s="43" t="n">
        <f aca="false">SUM(C53:E53)</f>
        <v>772242609</v>
      </c>
      <c r="I53" s="130" t="n">
        <f aca="false">E53/F53</f>
        <v>0.168360227064342</v>
      </c>
    </row>
    <row r="54" customFormat="false" ht="12.75" hidden="false" customHeight="false" outlineLevel="0" collapsed="false">
      <c r="A54" s="204" t="n">
        <v>8</v>
      </c>
      <c r="B54" s="223" t="n">
        <v>69422</v>
      </c>
      <c r="C54" s="223" t="n">
        <v>398585716</v>
      </c>
      <c r="D54" s="223" t="n">
        <v>189186197</v>
      </c>
      <c r="E54" s="223" t="n">
        <v>137129706</v>
      </c>
      <c r="F54" s="43" t="n">
        <f aca="false">SUM(C54:E54)</f>
        <v>724901619</v>
      </c>
      <c r="I54" s="154" t="n">
        <f aca="false">E54/F54</f>
        <v>0.189170092059072</v>
      </c>
    </row>
    <row r="55" customFormat="false" ht="12.75" hidden="false" customHeight="false" outlineLevel="0" collapsed="false">
      <c r="A55" s="204" t="n">
        <v>9</v>
      </c>
      <c r="B55" s="223" t="n">
        <v>70688</v>
      </c>
      <c r="C55" s="223" t="n">
        <v>404883885</v>
      </c>
      <c r="D55" s="223" t="n">
        <v>200336203</v>
      </c>
      <c r="E55" s="223" t="n">
        <v>162434989</v>
      </c>
      <c r="F55" s="43" t="n">
        <f aca="false">SUM(C55:E55)</f>
        <v>767655077</v>
      </c>
      <c r="I55" s="154" t="n">
        <f aca="false">E55/F55</f>
        <v>0.211598924916639</v>
      </c>
    </row>
    <row r="56" customFormat="false" ht="12.75" hidden="false" customHeight="false" outlineLevel="0" collapsed="false">
      <c r="A56" s="204" t="n">
        <v>10</v>
      </c>
      <c r="B56" s="223" t="n">
        <v>79232</v>
      </c>
      <c r="C56" s="223" t="n">
        <v>453327549</v>
      </c>
      <c r="D56" s="223" t="n">
        <v>231960584</v>
      </c>
      <c r="E56" s="223" t="n">
        <v>221110150</v>
      </c>
      <c r="F56" s="43" t="n">
        <f aca="false">SUM(C56:E56)</f>
        <v>906398283</v>
      </c>
      <c r="I56" s="154" t="n">
        <f aca="false">E56/F56</f>
        <v>0.243943699085758</v>
      </c>
    </row>
    <row r="57" customFormat="false" ht="12.75" hidden="false" customHeight="false" outlineLevel="0" collapsed="false">
      <c r="A57" s="204" t="n">
        <v>11</v>
      </c>
      <c r="B57" s="223" t="n">
        <v>110285</v>
      </c>
      <c r="C57" s="223" t="n">
        <v>622636292</v>
      </c>
      <c r="D57" s="223" t="n">
        <v>327627765</v>
      </c>
      <c r="E57" s="223" t="n">
        <v>405946041</v>
      </c>
      <c r="F57" s="43" t="n">
        <f aca="false">SUM(C57:E57)</f>
        <v>1356210098</v>
      </c>
      <c r="I57" s="154" t="n">
        <f aca="false">E57/F57</f>
        <v>0.299323859628127</v>
      </c>
    </row>
    <row r="58" customFormat="false" ht="12.75" hidden="false" customHeight="false" outlineLevel="0" collapsed="false">
      <c r="A58" s="164" t="n">
        <v>12</v>
      </c>
      <c r="B58" s="223" t="n">
        <v>421707</v>
      </c>
      <c r="C58" s="223" t="n">
        <v>2260708913</v>
      </c>
      <c r="D58" s="223" t="n">
        <v>1217046567</v>
      </c>
      <c r="E58" s="223" t="n">
        <v>3024468756</v>
      </c>
      <c r="F58" s="169" t="n">
        <f aca="false">SUM(C58:E58)</f>
        <v>6502224236</v>
      </c>
      <c r="I58" s="154" t="n">
        <f aca="false">E58/F58</f>
        <v>0.46514371793806</v>
      </c>
      <c r="J58" s="154"/>
    </row>
    <row r="59" customFormat="false" ht="12.75" hidden="false" customHeight="false" outlineLevel="0" collapsed="false">
      <c r="A59" s="204" t="s">
        <v>121</v>
      </c>
      <c r="B59" s="43" t="n">
        <f aca="false">SUM(B47:B58)</f>
        <v>1723254</v>
      </c>
      <c r="C59" s="43" t="n">
        <f aca="false">SUM(C47:C58)</f>
        <v>9636610211</v>
      </c>
      <c r="D59" s="43" t="n">
        <f aca="false">SUM(D47:D58)</f>
        <v>3819562689</v>
      </c>
      <c r="E59" s="43" t="n">
        <f aca="false">SUM(E47:E58)</f>
        <v>4630385545</v>
      </c>
      <c r="F59" s="43" t="n">
        <f aca="false">SUM(F47:F58)</f>
        <v>18086558445</v>
      </c>
      <c r="G59" s="154" t="n">
        <f aca="false">B59/B$69</f>
        <v>0.455650676645964</v>
      </c>
      <c r="H59" s="130" t="n">
        <f aca="false">F59/F$69</f>
        <v>0.685144043722797</v>
      </c>
      <c r="I59" s="154" t="n">
        <f aca="false">E59/F59</f>
        <v>0.256012527705627</v>
      </c>
    </row>
    <row r="60" customFormat="false" ht="12.75" hidden="false" customHeight="false" outlineLevel="0" collapsed="false">
      <c r="C60" s="130" t="n">
        <f aca="false">C59/$F59</f>
        <v>0.532805079545911</v>
      </c>
      <c r="D60" s="130" t="n">
        <f aca="false">D59/$F59</f>
        <v>0.211182392748462</v>
      </c>
      <c r="E60" s="130" t="n">
        <f aca="false">E59/$F59</f>
        <v>0.256012527705627</v>
      </c>
      <c r="F60" s="43" t="n">
        <f aca="false">F59/B59</f>
        <v>10495.5847745022</v>
      </c>
      <c r="G60" s="154"/>
      <c r="H60" s="130"/>
    </row>
    <row r="61" customFormat="false" ht="12.75" hidden="false" customHeight="false" outlineLevel="0" collapsed="false">
      <c r="C61" s="130"/>
      <c r="D61" s="130"/>
      <c r="E61" s="130"/>
      <c r="F61" s="43"/>
      <c r="G61" s="154"/>
      <c r="H61" s="130"/>
    </row>
    <row r="62" customFormat="false" ht="12.75" hidden="false" customHeight="false" outlineLevel="0" collapsed="false">
      <c r="A62" s="204" t="s">
        <v>145</v>
      </c>
      <c r="B62" s="43" t="n">
        <f aca="false">SUM(B47:B49)</f>
        <v>547210</v>
      </c>
      <c r="C62" s="43" t="n">
        <f aca="false">SUM(C47:C49)</f>
        <v>2973450892</v>
      </c>
      <c r="D62" s="43" t="n">
        <f aca="false">SUM(D47:D49)</f>
        <v>706724166</v>
      </c>
      <c r="E62" s="43" t="n">
        <f aca="false">SUM(E47:E49)</f>
        <v>152572544</v>
      </c>
      <c r="F62" s="43" t="n">
        <f aca="false">SUM(F47:F49)</f>
        <v>3832747602</v>
      </c>
      <c r="G62" s="154" t="n">
        <f aca="false">B62/B69</f>
        <v>0.144689411292495</v>
      </c>
    </row>
    <row r="63" customFormat="false" ht="12.75" hidden="false" customHeight="false" outlineLevel="0" collapsed="false">
      <c r="A63" s="204" t="s">
        <v>146</v>
      </c>
      <c r="B63" s="154"/>
      <c r="C63" s="154" t="n">
        <f aca="false">C62/$F62</f>
        <v>0.775801383437928</v>
      </c>
      <c r="D63" s="154" t="n">
        <f aca="false">D62/$F62</f>
        <v>0.184391000761756</v>
      </c>
      <c r="E63" s="154" t="n">
        <f aca="false">E62/$F62</f>
        <v>0.0398076158003164</v>
      </c>
      <c r="F63" s="43" t="n">
        <f aca="false">F62/B62</f>
        <v>7004.16220829298</v>
      </c>
    </row>
    <row r="64" customFormat="false" ht="12.75" hidden="false" customHeight="false" outlineLevel="0" collapsed="false">
      <c r="F64" s="43"/>
      <c r="G64" s="154"/>
    </row>
    <row r="65" customFormat="false" ht="12.75" hidden="false" customHeight="false" outlineLevel="0" collapsed="false">
      <c r="A65" s="209" t="s">
        <v>147</v>
      </c>
      <c r="B65" s="43" t="n">
        <f aca="false">B58</f>
        <v>421707</v>
      </c>
      <c r="C65" s="43" t="n">
        <f aca="false">C58</f>
        <v>2260708913</v>
      </c>
      <c r="D65" s="43" t="n">
        <f aca="false">D58</f>
        <v>1217046567</v>
      </c>
      <c r="E65" s="43" t="n">
        <f aca="false">E58</f>
        <v>3024468756</v>
      </c>
      <c r="F65" s="43" t="n">
        <f aca="false">SUM(C65:E65)</f>
        <v>6502224236</v>
      </c>
      <c r="G65" s="154" t="n">
        <f aca="false">B65/B69</f>
        <v>0.111504792616956</v>
      </c>
    </row>
    <row r="66" customFormat="false" ht="12.75" hidden="false" customHeight="false" outlineLevel="0" collapsed="false">
      <c r="A66" s="204" t="s">
        <v>146</v>
      </c>
      <c r="B66" s="5"/>
      <c r="C66" s="154" t="n">
        <f aca="false">C65/$F65</f>
        <v>0.347682397737598</v>
      </c>
      <c r="D66" s="154" t="n">
        <f aca="false">D65/$F65</f>
        <v>0.187173884324342</v>
      </c>
      <c r="E66" s="154" t="n">
        <f aca="false">E65/$F65</f>
        <v>0.46514371793806</v>
      </c>
      <c r="F66" s="43" t="n">
        <f aca="false">F65/B65</f>
        <v>15418.8197871982</v>
      </c>
    </row>
    <row r="67" customFormat="false" ht="12.75" hidden="false" customHeight="false" outlineLevel="0" collapsed="false">
      <c r="B67" s="154"/>
      <c r="C67" s="154"/>
      <c r="D67" s="154"/>
      <c r="E67" s="154"/>
    </row>
    <row r="68" customFormat="false" ht="12.75" hidden="false" customHeight="false" outlineLevel="0" collapsed="false">
      <c r="F68" s="43"/>
      <c r="G68" s="154"/>
    </row>
    <row r="69" customFormat="false" ht="12.75" hidden="false" customHeight="false" outlineLevel="0" collapsed="false">
      <c r="A69" s="204" t="s">
        <v>162</v>
      </c>
      <c r="B69" s="43" t="n">
        <f aca="false">B24+B40+B59</f>
        <v>3781963</v>
      </c>
      <c r="C69" s="43" t="n">
        <f aca="false">C24+C40+C59</f>
        <v>17543168150</v>
      </c>
      <c r="D69" s="43" t="n">
        <f aca="false">D24+D40+D59</f>
        <v>4224630177</v>
      </c>
      <c r="E69" s="43" t="n">
        <f aca="false">E24+E40+E59</f>
        <v>4630385545</v>
      </c>
      <c r="F69" s="43" t="n">
        <f aca="false">SUM(C69:E69)</f>
        <v>26398183872</v>
      </c>
    </row>
    <row r="70" customFormat="false" ht="12.75" hidden="false" customHeight="false" outlineLevel="0" collapsed="false">
      <c r="C70" s="154" t="n">
        <f aca="false">C69/$F69</f>
        <v>0.664559661947338</v>
      </c>
      <c r="D70" s="154" t="n">
        <f aca="false">D69/$F69</f>
        <v>0.160034879576734</v>
      </c>
      <c r="E70" s="154" t="n">
        <f aca="false">E69/$F69</f>
        <v>0.175405458475928</v>
      </c>
      <c r="F70" s="43" t="n">
        <f aca="false">F69/B69</f>
        <v>6980.02171676455</v>
      </c>
    </row>
    <row r="71" customFormat="false" ht="12.75" hidden="false" customHeight="false" outlineLevel="0" collapsed="false">
      <c r="F71" s="43"/>
    </row>
    <row r="73" customFormat="false" ht="12.75" hidden="false" customHeight="false" outlineLevel="0" collapsed="false">
      <c r="A73" s="204" t="s">
        <v>163</v>
      </c>
      <c r="B73" s="43" t="n">
        <v>1295774</v>
      </c>
      <c r="C73" s="43" t="n">
        <v>3756167710</v>
      </c>
      <c r="D73" s="43" t="n">
        <v>75702878</v>
      </c>
      <c r="E73" s="43" t="n">
        <v>0</v>
      </c>
      <c r="F73" s="43" t="n">
        <f aca="false">SUM(B73:E73)</f>
        <v>3833166362</v>
      </c>
      <c r="G73" s="154" t="n">
        <f aca="false">B73/B69</f>
        <v>0.342619428058921</v>
      </c>
    </row>
    <row r="74" customFormat="false" ht="12.75" hidden="false" customHeight="false" outlineLevel="0" collapsed="false">
      <c r="C74" s="154" t="n">
        <f aca="false">C73/$F73</f>
        <v>0.979912520165228</v>
      </c>
      <c r="D74" s="154" t="n">
        <f aca="false">D73/$F73</f>
        <v>0.0197494371103948</v>
      </c>
      <c r="E74" s="154" t="n">
        <f aca="false">E73/$F73</f>
        <v>0</v>
      </c>
      <c r="F74" s="43" t="n">
        <f aca="false">F73/B73</f>
        <v>2958.20595412472</v>
      </c>
    </row>
    <row r="75" customFormat="false" ht="12.75" hidden="false" customHeight="false" outlineLevel="0" collapsed="false">
      <c r="C75" s="154"/>
      <c r="D75" s="154"/>
      <c r="E75" s="154"/>
      <c r="F75" s="43"/>
    </row>
    <row r="76" customFormat="false" ht="12.75" hidden="false" customHeight="false" outlineLevel="0" collapsed="false">
      <c r="A76" s="214" t="s">
        <v>149</v>
      </c>
      <c r="B76" s="5"/>
      <c r="F76" s="43"/>
    </row>
    <row r="77" customFormat="false" ht="12.75" hidden="false" customHeight="false" outlineLevel="0" collapsed="false">
      <c r="A77" s="204" t="s">
        <v>104</v>
      </c>
      <c r="B77" s="212" t="s">
        <v>150</v>
      </c>
      <c r="C77" s="43" t="s">
        <v>151</v>
      </c>
      <c r="D77" s="212" t="s">
        <v>143</v>
      </c>
      <c r="E77" s="43" t="s">
        <v>152</v>
      </c>
      <c r="F77" s="212" t="s">
        <v>144</v>
      </c>
    </row>
    <row r="78" customFormat="false" ht="12.75" hidden="false" customHeight="false" outlineLevel="0" collapsed="false">
      <c r="A78" s="204" t="n">
        <v>1</v>
      </c>
      <c r="B78" s="5" t="n">
        <f aca="false">A12*B12</f>
        <v>4706</v>
      </c>
      <c r="C78" s="5" t="n">
        <f aca="false">(12-A28)*B28</f>
        <v>1995202</v>
      </c>
      <c r="D78" s="5" t="n">
        <f aca="false">A28*B28</f>
        <v>181382</v>
      </c>
      <c r="E78" s="5" t="n">
        <f aca="false">(12-A47)*B47</f>
        <v>2563308</v>
      </c>
      <c r="F78" s="5" t="n">
        <f aca="false">A47*B47</f>
        <v>233028</v>
      </c>
    </row>
    <row r="79" customFormat="false" ht="12.75" hidden="false" customHeight="false" outlineLevel="0" collapsed="false">
      <c r="A79" s="204" t="n">
        <v>2</v>
      </c>
      <c r="B79" s="5" t="n">
        <f aca="false">A13*B13</f>
        <v>8686</v>
      </c>
      <c r="C79" s="5" t="n">
        <f aca="false">(12-A29)*B29</f>
        <v>1317470</v>
      </c>
      <c r="D79" s="5" t="n">
        <f aca="false">A29*B29</f>
        <v>263494</v>
      </c>
      <c r="E79" s="5" t="n">
        <f aca="false">(12-A48)*B48</f>
        <v>1682340</v>
      </c>
      <c r="F79" s="5" t="n">
        <f aca="false">A48*B48</f>
        <v>336468</v>
      </c>
    </row>
    <row r="80" customFormat="false" ht="12.75" hidden="false" customHeight="false" outlineLevel="0" collapsed="false">
      <c r="A80" s="204" t="n">
        <v>3</v>
      </c>
      <c r="B80" s="5" t="n">
        <f aca="false">A14*B14</f>
        <v>12159</v>
      </c>
      <c r="C80" s="5" t="n">
        <f aca="false">(12-A30)*B30</f>
        <v>971892</v>
      </c>
      <c r="D80" s="5" t="n">
        <f aca="false">A30*B30</f>
        <v>323964</v>
      </c>
      <c r="E80" s="5" t="n">
        <f aca="false">(12-A49)*B49</f>
        <v>1313532</v>
      </c>
      <c r="F80" s="5" t="n">
        <f aca="false">A49*B49</f>
        <v>437844</v>
      </c>
    </row>
    <row r="81" customFormat="false" ht="12.75" hidden="false" customHeight="false" outlineLevel="0" collapsed="false">
      <c r="A81" s="204" t="n">
        <v>4</v>
      </c>
      <c r="B81" s="5" t="n">
        <f aca="false">A15*B15</f>
        <v>13164</v>
      </c>
      <c r="C81" s="5" t="n">
        <f aca="false">(12-A31)*B31</f>
        <v>723712</v>
      </c>
      <c r="D81" s="5" t="n">
        <f aca="false">A31*B31</f>
        <v>361856</v>
      </c>
      <c r="E81" s="5" t="n">
        <f aca="false">(12-A50)*B50</f>
        <v>1085296</v>
      </c>
      <c r="F81" s="5" t="n">
        <f aca="false">A50*B50</f>
        <v>542648</v>
      </c>
    </row>
    <row r="82" customFormat="false" ht="12.75" hidden="false" customHeight="false" outlineLevel="0" collapsed="false">
      <c r="A82" s="204" t="n">
        <v>5</v>
      </c>
      <c r="B82" s="5" t="n">
        <f aca="false">A16*B16</f>
        <v>14720</v>
      </c>
      <c r="C82" s="5" t="n">
        <f aca="false">(12-A32)*B32</f>
        <v>528626</v>
      </c>
      <c r="D82" s="5" t="n">
        <f aca="false">A32*B32</f>
        <v>377590</v>
      </c>
      <c r="E82" s="5" t="n">
        <f aca="false">(12-A51)*B51</f>
        <v>817236</v>
      </c>
      <c r="F82" s="5" t="n">
        <f aca="false">A51*B51</f>
        <v>583740</v>
      </c>
    </row>
    <row r="83" customFormat="false" ht="12.75" hidden="false" customHeight="false" outlineLevel="0" collapsed="false">
      <c r="A83" s="204" t="n">
        <v>6</v>
      </c>
      <c r="B83" s="5" t="n">
        <f aca="false">A17*B17</f>
        <v>20022</v>
      </c>
      <c r="C83" s="5" t="n">
        <f aca="false">(12-A33)*B33</f>
        <v>381636</v>
      </c>
      <c r="D83" s="5" t="n">
        <f aca="false">A33*B33</f>
        <v>381636</v>
      </c>
      <c r="E83" s="5" t="n">
        <f aca="false">(12-A52)*B52</f>
        <v>575304</v>
      </c>
      <c r="F83" s="5" t="n">
        <f aca="false">A52*B52</f>
        <v>575304</v>
      </c>
    </row>
    <row r="84" customFormat="false" ht="12.75" hidden="false" customHeight="false" outlineLevel="0" collapsed="false">
      <c r="A84" s="204" t="n">
        <v>7</v>
      </c>
      <c r="B84" s="5" t="n">
        <f aca="false">A18*B18</f>
        <v>23492</v>
      </c>
      <c r="C84" s="5" t="n">
        <f aca="false">(12-A34)*B34</f>
        <v>238755</v>
      </c>
      <c r="D84" s="5" t="n">
        <f aca="false">A34*B34</f>
        <v>334257</v>
      </c>
      <c r="E84" s="5" t="n">
        <f aca="false">(12-A53)*B53</f>
        <v>382080</v>
      </c>
      <c r="F84" s="5" t="n">
        <f aca="false">A53*B53</f>
        <v>534912</v>
      </c>
    </row>
    <row r="85" customFormat="false" ht="12.75" hidden="false" customHeight="false" outlineLevel="0" collapsed="false">
      <c r="A85" s="204" t="n">
        <v>8</v>
      </c>
      <c r="B85" s="5" t="n">
        <f aca="false">A19*B19</f>
        <v>29384</v>
      </c>
      <c r="C85" s="5" t="n">
        <f aca="false">(12-A35)*B35</f>
        <v>165960</v>
      </c>
      <c r="D85" s="5" t="n">
        <f aca="false">A35*B35</f>
        <v>331920</v>
      </c>
      <c r="E85" s="5" t="n">
        <f aca="false">(12-A54)*B54</f>
        <v>277688</v>
      </c>
      <c r="F85" s="5" t="n">
        <f aca="false">A54*B54</f>
        <v>555376</v>
      </c>
    </row>
    <row r="86" customFormat="false" ht="12.75" hidden="false" customHeight="false" outlineLevel="0" collapsed="false">
      <c r="A86" s="204" t="n">
        <v>9</v>
      </c>
      <c r="B86" s="5" t="n">
        <f aca="false">A20*B20</f>
        <v>38682</v>
      </c>
      <c r="C86" s="5" t="n">
        <f aca="false">(12-A36)*B36</f>
        <v>116427</v>
      </c>
      <c r="D86" s="5" t="n">
        <f aca="false">A36*B36</f>
        <v>349281</v>
      </c>
      <c r="E86" s="5" t="n">
        <f aca="false">(12-A55)*B55</f>
        <v>212064</v>
      </c>
      <c r="F86" s="5" t="n">
        <f aca="false">A55*B55</f>
        <v>636192</v>
      </c>
    </row>
    <row r="87" customFormat="false" ht="12.75" hidden="false" customHeight="false" outlineLevel="0" collapsed="false">
      <c r="A87" s="204" t="n">
        <v>10</v>
      </c>
      <c r="B87" s="5" t="n">
        <f aca="false">A21*B21</f>
        <v>63860</v>
      </c>
      <c r="C87" s="5" t="n">
        <f aca="false">(12-A37)*B37</f>
        <v>78112</v>
      </c>
      <c r="D87" s="5" t="n">
        <f aca="false">A37*B37</f>
        <v>390560</v>
      </c>
      <c r="E87" s="5" t="n">
        <f aca="false">(12-A56)*B56</f>
        <v>158464</v>
      </c>
      <c r="F87" s="5" t="n">
        <f aca="false">A56*B56</f>
        <v>792320</v>
      </c>
    </row>
    <row r="88" customFormat="false" ht="12.75" hidden="false" customHeight="false" outlineLevel="0" collapsed="false">
      <c r="A88" s="204" t="n">
        <v>11</v>
      </c>
      <c r="B88" s="5" t="n">
        <f aca="false">A22*B22</f>
        <v>182402</v>
      </c>
      <c r="C88" s="5" t="n">
        <f aca="false">(12-A38)*B38</f>
        <v>44373</v>
      </c>
      <c r="D88" s="5" t="n">
        <f aca="false">A38*B38</f>
        <v>488103</v>
      </c>
      <c r="E88" s="5" t="n">
        <f aca="false">(12-A57)*B57</f>
        <v>110285</v>
      </c>
      <c r="F88" s="5" t="n">
        <f aca="false">A57*B57</f>
        <v>1213135</v>
      </c>
    </row>
    <row r="89" customFormat="false" ht="12.75" hidden="false" customHeight="false" outlineLevel="0" collapsed="false">
      <c r="A89" s="204" t="n">
        <v>12</v>
      </c>
      <c r="B89" s="5" t="n">
        <f aca="false">A23*B23</f>
        <v>12695436</v>
      </c>
      <c r="C89" s="5" t="n">
        <f aca="false">(12-A39)*B39</f>
        <v>0</v>
      </c>
      <c r="D89" s="5" t="n">
        <f aca="false">A39*B39</f>
        <v>979236</v>
      </c>
      <c r="E89" s="5" t="n">
        <f aca="false">(12-A58)*B58</f>
        <v>0</v>
      </c>
      <c r="F89" s="5" t="n">
        <f aca="false">A58*B58</f>
        <v>5060484</v>
      </c>
    </row>
    <row r="90" customFormat="false" ht="12.75" hidden="false" customHeight="false" outlineLevel="0" collapsed="false">
      <c r="B90" s="43" t="n">
        <f aca="false">SUM(B78:B89)</f>
        <v>13106713</v>
      </c>
      <c r="C90" s="43" t="n">
        <f aca="false">SUM(C78:C89)</f>
        <v>6562165</v>
      </c>
      <c r="D90" s="43" t="n">
        <f aca="false">SUM(D78:D89)</f>
        <v>4763279</v>
      </c>
      <c r="E90" s="43" t="n">
        <f aca="false">SUM(E78:E89)</f>
        <v>9177597</v>
      </c>
      <c r="F90" s="43" t="n">
        <f aca="false">SUM(F78:F89)</f>
        <v>11501451</v>
      </c>
      <c r="G90" s="43" t="n">
        <f aca="false">SUM(B90:F90)</f>
        <v>45111205</v>
      </c>
    </row>
    <row r="92" customFormat="false" ht="12.75" hidden="false" customHeight="false" outlineLevel="0" collapsed="false">
      <c r="A92" s="204" t="s">
        <v>153</v>
      </c>
      <c r="B92" s="43" t="n">
        <f aca="false">B90+C90</f>
        <v>19668878</v>
      </c>
      <c r="C92" s="130" t="n">
        <f aca="false">B92/B$95</f>
        <v>0.436008703380901</v>
      </c>
    </row>
    <row r="93" customFormat="false" ht="12.75" hidden="false" customHeight="false" outlineLevel="0" collapsed="false">
      <c r="A93" s="204" t="s">
        <v>154</v>
      </c>
      <c r="B93" s="43" t="n">
        <f aca="false">D90+E90</f>
        <v>13940876</v>
      </c>
      <c r="C93" s="130" t="n">
        <f aca="false">B93/B$95</f>
        <v>0.309033553858736</v>
      </c>
    </row>
    <row r="94" customFormat="false" ht="12.75" hidden="false" customHeight="false" outlineLevel="0" collapsed="false">
      <c r="A94" s="204" t="s">
        <v>155</v>
      </c>
      <c r="B94" s="43" t="n">
        <f aca="false">F90</f>
        <v>11501451</v>
      </c>
      <c r="C94" s="130" t="n">
        <f aca="false">B94/B$95</f>
        <v>0.254957742760363</v>
      </c>
    </row>
    <row r="95" customFormat="false" ht="12.75" hidden="false" customHeight="false" outlineLevel="0" collapsed="false">
      <c r="B95" s="43" t="n">
        <f aca="false">G90</f>
        <v>45111205</v>
      </c>
    </row>
    <row r="97" customFormat="false" ht="12.75" hidden="false" customHeight="false" outlineLevel="0" collapsed="false">
      <c r="I97" s="204" t="s">
        <v>170</v>
      </c>
    </row>
    <row r="98" customFormat="false" ht="12.75" hidden="false" customHeight="false" outlineLevel="0" collapsed="false">
      <c r="G98" s="204" t="s">
        <v>7</v>
      </c>
      <c r="H98" s="204" t="s">
        <v>7</v>
      </c>
      <c r="I98" s="204" t="s">
        <v>171</v>
      </c>
      <c r="J98" s="0"/>
      <c r="K98" s="0"/>
    </row>
    <row r="99" customFormat="false" ht="12.75" hidden="false" customHeight="false" outlineLevel="0" collapsed="false">
      <c r="A99" s="216" t="s">
        <v>179</v>
      </c>
      <c r="B99" s="217" t="s">
        <v>14</v>
      </c>
      <c r="C99" s="77" t="s">
        <v>43</v>
      </c>
      <c r="D99" s="77" t="s">
        <v>172</v>
      </c>
      <c r="E99" s="77" t="s">
        <v>45</v>
      </c>
      <c r="F99" s="77" t="s">
        <v>88</v>
      </c>
      <c r="G99" s="204" t="s">
        <v>14</v>
      </c>
      <c r="H99" s="204" t="s">
        <v>173</v>
      </c>
      <c r="I99" s="204" t="s">
        <v>173</v>
      </c>
      <c r="J99" s="0"/>
      <c r="K99" s="0"/>
    </row>
    <row r="100" customFormat="false" ht="12.75" hidden="false" customHeight="false" outlineLevel="0" collapsed="false">
      <c r="A100" s="204" t="s">
        <v>157</v>
      </c>
      <c r="B100" s="43" t="n">
        <f aca="false">B24+B40</f>
        <v>2058709</v>
      </c>
      <c r="C100" s="43" t="n">
        <f aca="false">C24+C40</f>
        <v>7906557939</v>
      </c>
      <c r="D100" s="43" t="n">
        <f aca="false">D24+D40</f>
        <v>405067488</v>
      </c>
      <c r="E100" s="43" t="n">
        <v>0</v>
      </c>
      <c r="F100" s="43" t="n">
        <f aca="false">SUM(C100:E100)</f>
        <v>8311625427</v>
      </c>
      <c r="G100" s="154" t="n">
        <f aca="false">B100/B$105</f>
        <v>0.544349323354036</v>
      </c>
      <c r="H100" s="5" t="n">
        <v>0</v>
      </c>
      <c r="J100" s="0"/>
      <c r="K100" s="0"/>
    </row>
    <row r="101" customFormat="false" ht="12.75" hidden="false" customHeight="false" outlineLevel="0" collapsed="false">
      <c r="A101" s="204" t="s">
        <v>158</v>
      </c>
      <c r="B101" s="43" t="n">
        <f aca="false">B47+B48+B49</f>
        <v>547210</v>
      </c>
      <c r="C101" s="43" t="n">
        <f aca="false">C47+C48+C49</f>
        <v>2973450892</v>
      </c>
      <c r="D101" s="43" t="n">
        <f aca="false">D47+D48+D49</f>
        <v>706724166</v>
      </c>
      <c r="E101" s="43" t="n">
        <f aca="false">E47+E48+E49</f>
        <v>152572544</v>
      </c>
      <c r="F101" s="43" t="n">
        <f aca="false">SUM(C101:E101)</f>
        <v>3832747602</v>
      </c>
      <c r="G101" s="154" t="n">
        <f aca="false">B101/B$105</f>
        <v>0.144689411292495</v>
      </c>
      <c r="H101" s="130" t="e">
        <f aca="false">(SUM(#REF!)-SUM(#REF!))/SUM(#REF!)</f>
        <v>#REF!</v>
      </c>
      <c r="I101" s="130" t="e">
        <f aca="false">-(SUM(#REF!)-SUM(#REF!))/Prices!E$8/SUM(F$47:F$49)</f>
        <v>#REF!</v>
      </c>
      <c r="J101" s="0" t="e">
        <f aca="false">F101*I101</f>
        <v>#REF!</v>
      </c>
      <c r="K101" s="0"/>
    </row>
    <row r="102" customFormat="false" ht="12.75" hidden="false" customHeight="false" outlineLevel="0" collapsed="false">
      <c r="A102" s="204" t="s">
        <v>159</v>
      </c>
      <c r="B102" s="43" t="n">
        <f aca="false">B50+B51+B52+B53</f>
        <v>424710</v>
      </c>
      <c r="C102" s="43" t="n">
        <f aca="false">C50+C51+C52+C53</f>
        <v>2523016964</v>
      </c>
      <c r="D102" s="43" t="n">
        <f aca="false">D50+D51+D52+D53</f>
        <v>946681207</v>
      </c>
      <c r="E102" s="43" t="n">
        <f aca="false">E50+E51+E52+E53</f>
        <v>526723359</v>
      </c>
      <c r="F102" s="43" t="n">
        <f aca="false">SUM(C102:E102)</f>
        <v>3996421530</v>
      </c>
      <c r="G102" s="154" t="n">
        <f aca="false">B102/B$105</f>
        <v>0.112298824710871</v>
      </c>
      <c r="H102" s="130" t="e">
        <f aca="false">(SUM(#REF!)-SUM(#REF!))/SUM(#REF!)</f>
        <v>#REF!</v>
      </c>
      <c r="I102" s="130" t="e">
        <f aca="false">-(SUM(#REF!)-SUM(#REF!))/#REF!/SUM(F$50:F$53)</f>
        <v>#REF!</v>
      </c>
      <c r="J102" s="0" t="e">
        <f aca="false">F102*I102</f>
        <v>#REF!</v>
      </c>
      <c r="K102" s="0"/>
    </row>
    <row r="103" customFormat="false" ht="12.75" hidden="false" customHeight="false" outlineLevel="0" collapsed="false">
      <c r="A103" s="204" t="s">
        <v>160</v>
      </c>
      <c r="B103" s="43" t="n">
        <f aca="false">B54+B55+B56+B57</f>
        <v>329627</v>
      </c>
      <c r="C103" s="43" t="n">
        <f aca="false">C54+C55+C56+C57</f>
        <v>1879433442</v>
      </c>
      <c r="D103" s="43" t="n">
        <f aca="false">D54+D55+D56+D57</f>
        <v>949110749</v>
      </c>
      <c r="E103" s="43" t="n">
        <f aca="false">E54+E55+E56+E57</f>
        <v>926620886</v>
      </c>
      <c r="F103" s="43" t="n">
        <f aca="false">SUM(C103:E103)</f>
        <v>3755165077</v>
      </c>
      <c r="G103" s="154" t="n">
        <f aca="false">B103/B$105</f>
        <v>0.0871576480256417</v>
      </c>
      <c r="H103" s="130" t="e">
        <f aca="false">(SUM(#REF!)-SUM(#REF!))/SUM(#REF!)</f>
        <v>#REF!</v>
      </c>
      <c r="I103" s="130" t="e">
        <f aca="false">-(SUM(#REF!)-SUM(#REF!))/#REF!/SUM(F$54:F$57)</f>
        <v>#REF!</v>
      </c>
      <c r="J103" s="0" t="e">
        <f aca="false">F103*I103</f>
        <v>#REF!</v>
      </c>
      <c r="K103" s="0"/>
    </row>
    <row r="104" customFormat="false" ht="12.75" hidden="false" customHeight="false" outlineLevel="0" collapsed="false">
      <c r="A104" s="164" t="s">
        <v>161</v>
      </c>
      <c r="B104" s="169" t="n">
        <f aca="false">B58</f>
        <v>421707</v>
      </c>
      <c r="C104" s="169" t="n">
        <f aca="false">C58</f>
        <v>2260708913</v>
      </c>
      <c r="D104" s="169" t="n">
        <f aca="false">D58</f>
        <v>1217046567</v>
      </c>
      <c r="E104" s="169" t="n">
        <f aca="false">E58</f>
        <v>3024468756</v>
      </c>
      <c r="F104" s="169" t="n">
        <f aca="false">SUM(C104:E104)</f>
        <v>6502224236</v>
      </c>
      <c r="G104" s="155" t="n">
        <f aca="false">B104/B$105</f>
        <v>0.111504792616956</v>
      </c>
      <c r="H104" s="218" t="e">
        <f aca="false">#REF!</f>
        <v>#REF!</v>
      </c>
      <c r="I104" s="219" t="e">
        <f aca="false">-(#REF!-#REF!)/Prices!E$9/F$58</f>
        <v>#REF!</v>
      </c>
      <c r="J104" s="0" t="e">
        <f aca="false">F104*I104</f>
        <v>#REF!</v>
      </c>
      <c r="K104" s="0"/>
    </row>
    <row r="105" customFormat="false" ht="12.75" hidden="false" customHeight="false" outlineLevel="0" collapsed="false">
      <c r="A105" s="204" t="s">
        <v>88</v>
      </c>
      <c r="B105" s="43" t="n">
        <f aca="false">SUM(B100:B104)</f>
        <v>3781963</v>
      </c>
      <c r="C105" s="43" t="n">
        <f aca="false">SUM(C100:C104)</f>
        <v>17543168150</v>
      </c>
      <c r="D105" s="43" t="n">
        <f aca="false">SUM(D100:D104)</f>
        <v>4224630177</v>
      </c>
      <c r="E105" s="43" t="n">
        <f aca="false">SUM(E100:E104)</f>
        <v>4630385545</v>
      </c>
      <c r="F105" s="43" t="n">
        <f aca="false">SUM(F100:F104)</f>
        <v>26398183872</v>
      </c>
      <c r="G105" s="154" t="n">
        <f aca="false">B105/B$105</f>
        <v>1</v>
      </c>
      <c r="H105" s="130" t="n">
        <v>0.2</v>
      </c>
      <c r="I105" s="130" t="e">
        <f aca="false">J105/F105</f>
        <v>#REF!</v>
      </c>
      <c r="J105" s="0" t="e">
        <f aca="false">SUM(J101:J104)</f>
        <v>#REF!</v>
      </c>
      <c r="K105" s="0"/>
    </row>
  </sheetData>
  <mergeCells count="1">
    <mergeCell ref="A1:E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&amp;CPacific Gas and Electric Company
Rate Design Workpapers
3 Cent Surcharge</oddHeader>
    <oddFooter>&amp;L&amp;D  &amp;T&amp;R&amp;F  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05"/>
  <sheetViews>
    <sheetView showFormulas="false" showGridLines="true" showRowColHeaders="true" showZeros="true" rightToLeft="false" tabSelected="false" showOutlineSymbols="true" defaultGridColor="true" view="normal" topLeftCell="A90" colorId="64" zoomScale="100" zoomScaleNormal="100" zoomScalePageLayoutView="100" workbookViewId="0">
      <selection pane="topLeft" activeCell="C95" activeCellId="0" sqref="C9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4" width="14.14"/>
    <col collapsed="false" customWidth="true" hidden="false" outlineLevel="0" max="2" min="2" style="43" width="10.13"/>
    <col collapsed="false" customWidth="true" hidden="false" outlineLevel="0" max="3" min="3" style="43" width="13.7"/>
    <col collapsed="false" customWidth="true" hidden="false" outlineLevel="0" max="4" min="4" style="43" width="12.7"/>
    <col collapsed="false" customWidth="true" hidden="false" outlineLevel="0" max="5" min="5" style="43" width="14.7"/>
    <col collapsed="false" customWidth="true" hidden="false" outlineLevel="0" max="6" min="6" style="5" width="13.85"/>
    <col collapsed="false" customWidth="true" hidden="false" outlineLevel="0" max="7" min="7" style="5" width="9.85"/>
    <col collapsed="false" customWidth="true" hidden="false" outlineLevel="0" max="8" min="8" style="5" width="10.56"/>
    <col collapsed="false" customWidth="true" hidden="false" outlineLevel="0" max="9" min="9" style="5" width="10.41"/>
    <col collapsed="false" customWidth="true" hidden="false" outlineLevel="0" max="10" min="10" style="0" width="10.41"/>
    <col collapsed="false" customWidth="true" hidden="false" outlineLevel="0" max="11" min="11" style="0" width="11.85"/>
    <col collapsed="false" customWidth="true" hidden="false" outlineLevel="0" max="12" min="12" style="0" width="10.28"/>
  </cols>
  <sheetData>
    <row r="1" customFormat="false" ht="12.75" hidden="false" customHeight="false" outlineLevel="0" collapsed="false">
      <c r="A1" s="224" t="s">
        <v>180</v>
      </c>
      <c r="B1" s="224"/>
      <c r="C1" s="224"/>
      <c r="D1" s="224"/>
      <c r="E1" s="224"/>
      <c r="F1" s="225"/>
      <c r="L1" s="5"/>
    </row>
    <row r="2" customFormat="false" ht="12.75" hidden="false" customHeight="false" outlineLevel="0" collapsed="false">
      <c r="A2" s="9"/>
      <c r="B2" s="195"/>
      <c r="C2" s="176" t="s">
        <v>137</v>
      </c>
      <c r="D2" s="176" t="s">
        <v>181</v>
      </c>
      <c r="E2" s="176" t="s">
        <v>176</v>
      </c>
      <c r="F2" s="47"/>
      <c r="L2" s="5"/>
    </row>
    <row r="3" customFormat="false" ht="12.75" hidden="false" customHeight="false" outlineLevel="0" collapsed="false">
      <c r="A3" s="142"/>
      <c r="B3" s="165"/>
      <c r="C3" s="206" t="s">
        <v>43</v>
      </c>
      <c r="D3" s="206" t="s">
        <v>44</v>
      </c>
      <c r="E3" s="206" t="s">
        <v>45</v>
      </c>
      <c r="F3" s="48" t="s">
        <v>88</v>
      </c>
      <c r="L3" s="5"/>
    </row>
    <row r="4" customFormat="false" ht="12.75" hidden="false" customHeight="false" outlineLevel="0" collapsed="false">
      <c r="A4" s="49" t="s">
        <v>136</v>
      </c>
      <c r="B4" s="207" t="s">
        <v>14</v>
      </c>
      <c r="C4" s="21" t="n">
        <f aca="false">C70</f>
        <v>0.557052077647347</v>
      </c>
      <c r="D4" s="21" t="n">
        <f aca="false">D70</f>
        <v>0.267645583042929</v>
      </c>
      <c r="E4" s="21" t="n">
        <f aca="false">E70</f>
        <v>0.175302339309725</v>
      </c>
      <c r="F4" s="190" t="n">
        <f aca="false">SUM(C4:E4)</f>
        <v>1</v>
      </c>
      <c r="L4" s="5"/>
    </row>
    <row r="5" customFormat="false" ht="12.75" hidden="false" customHeight="false" outlineLevel="0" collapsed="false">
      <c r="A5" s="13" t="s">
        <v>137</v>
      </c>
      <c r="B5" s="22" t="n">
        <f aca="false">B24</f>
        <v>688603</v>
      </c>
      <c r="C5" s="22" t="n">
        <f aca="false">C24</f>
        <v>1598427576</v>
      </c>
      <c r="D5" s="154"/>
      <c r="E5" s="22"/>
      <c r="F5" s="91" t="n">
        <f aca="false">SUM(B5:E5)</f>
        <v>1599116179</v>
      </c>
      <c r="J5" s="5"/>
      <c r="K5" s="5"/>
    </row>
    <row r="6" customFormat="false" ht="12.75" hidden="false" customHeight="false" outlineLevel="0" collapsed="false">
      <c r="A6" s="13" t="s">
        <v>181</v>
      </c>
      <c r="B6" s="27" t="n">
        <f aca="false">B40</f>
        <v>1377110</v>
      </c>
      <c r="C6" s="27" t="n">
        <f aca="false">C40</f>
        <v>5547305699</v>
      </c>
      <c r="D6" s="27" t="n">
        <f aca="false">D40</f>
        <v>1181420517</v>
      </c>
      <c r="E6" s="22"/>
      <c r="F6" s="91" t="n">
        <f aca="false">SUM(B6:E6)</f>
        <v>6730103326</v>
      </c>
      <c r="J6" s="5"/>
      <c r="K6" s="5"/>
    </row>
    <row r="7" customFormat="false" ht="12.75" hidden="false" customHeight="false" outlineLevel="0" collapsed="false">
      <c r="A7" s="17" t="s">
        <v>97</v>
      </c>
      <c r="B7" s="30" t="n">
        <f aca="false">B59</f>
        <v>1723254</v>
      </c>
      <c r="C7" s="30" t="n">
        <f aca="false">C59</f>
        <v>7568080005</v>
      </c>
      <c r="D7" s="30" t="n">
        <f aca="false">D59</f>
        <v>5888092895</v>
      </c>
      <c r="E7" s="30" t="n">
        <f aca="false">E59</f>
        <v>4630385545</v>
      </c>
      <c r="F7" s="92" t="n">
        <f aca="false">SUM(B7:E7)</f>
        <v>18088281699</v>
      </c>
      <c r="J7" s="5"/>
      <c r="K7" s="5"/>
    </row>
    <row r="8" customFormat="false" ht="12.75" hidden="false" customHeight="false" outlineLevel="0" collapsed="false">
      <c r="A8" s="53" t="s">
        <v>88</v>
      </c>
      <c r="B8" s="38" t="n">
        <f aca="false">SUM(B5:B7)</f>
        <v>3788967</v>
      </c>
      <c r="C8" s="38" t="n">
        <f aca="false">SUM(C5:C7)</f>
        <v>14713813280</v>
      </c>
      <c r="D8" s="38" t="n">
        <f aca="false">SUM(D5:D7)</f>
        <v>7069513412</v>
      </c>
      <c r="E8" s="38" t="n">
        <f aca="false">SUM(E5:E7)</f>
        <v>4630385545</v>
      </c>
      <c r="F8" s="93" t="n">
        <f aca="false">SUM(F5:F7)</f>
        <v>26417501204</v>
      </c>
      <c r="J8" s="5"/>
      <c r="K8" s="5"/>
    </row>
    <row r="9" customFormat="false" ht="12.75" hidden="false" customHeight="false" outlineLevel="0" collapsed="false">
      <c r="A9" s="209"/>
      <c r="L9" s="5"/>
    </row>
    <row r="10" customFormat="false" ht="12.75" hidden="false" customHeight="false" outlineLevel="0" collapsed="false">
      <c r="A10" s="210" t="s">
        <v>139</v>
      </c>
      <c r="C10" s="21" t="s">
        <v>137</v>
      </c>
      <c r="D10" s="21" t="s">
        <v>181</v>
      </c>
      <c r="E10" s="21" t="s">
        <v>176</v>
      </c>
      <c r="G10" s="5" t="s">
        <v>140</v>
      </c>
      <c r="H10" s="5" t="s">
        <v>140</v>
      </c>
      <c r="L10" s="5"/>
    </row>
    <row r="11" customFormat="false" ht="12.75" hidden="false" customHeight="false" outlineLevel="0" collapsed="false">
      <c r="A11" s="212" t="s">
        <v>141</v>
      </c>
      <c r="B11" s="213" t="s">
        <v>110</v>
      </c>
      <c r="C11" s="213" t="s">
        <v>126</v>
      </c>
      <c r="D11" s="214"/>
      <c r="E11" s="214"/>
      <c r="F11" s="214" t="s">
        <v>63</v>
      </c>
      <c r="G11" s="214" t="s">
        <v>14</v>
      </c>
      <c r="H11" s="214" t="s">
        <v>142</v>
      </c>
      <c r="I11" s="214"/>
      <c r="L11" s="214"/>
    </row>
    <row r="12" customFormat="false" ht="12.75" hidden="false" customHeight="false" outlineLevel="0" collapsed="false">
      <c r="A12" s="204" t="n">
        <v>1</v>
      </c>
      <c r="B12" s="0" t="n">
        <v>4335</v>
      </c>
      <c r="C12" s="0" t="n">
        <v>441218</v>
      </c>
      <c r="L12" s="5"/>
    </row>
    <row r="13" customFormat="false" ht="12.75" hidden="false" customHeight="false" outlineLevel="0" collapsed="false">
      <c r="A13" s="204" t="n">
        <v>2</v>
      </c>
      <c r="B13" s="0" t="n">
        <v>3736</v>
      </c>
      <c r="C13" s="0" t="n">
        <v>831958</v>
      </c>
      <c r="L13" s="5"/>
    </row>
    <row r="14" customFormat="false" ht="12.75" hidden="false" customHeight="false" outlineLevel="0" collapsed="false">
      <c r="A14" s="204" t="n">
        <v>3</v>
      </c>
      <c r="B14" s="0" t="n">
        <v>3314</v>
      </c>
      <c r="C14" s="0" t="n">
        <v>1268748</v>
      </c>
      <c r="L14" s="5"/>
    </row>
    <row r="15" customFormat="false" ht="12.75" hidden="false" customHeight="false" outlineLevel="0" collapsed="false">
      <c r="A15" s="204" t="n">
        <v>4</v>
      </c>
      <c r="B15" s="0" t="n">
        <v>2547</v>
      </c>
      <c r="C15" s="0" t="n">
        <v>1329942</v>
      </c>
      <c r="L15" s="5"/>
    </row>
    <row r="16" customFormat="false" ht="12.75" hidden="false" customHeight="false" outlineLevel="0" collapsed="false">
      <c r="A16" s="204" t="n">
        <v>5</v>
      </c>
      <c r="B16" s="0" t="n">
        <v>2185</v>
      </c>
      <c r="C16" s="0" t="n">
        <v>1645813</v>
      </c>
      <c r="L16" s="5"/>
    </row>
    <row r="17" customFormat="false" ht="12.75" hidden="false" customHeight="false" outlineLevel="0" collapsed="false">
      <c r="A17" s="204" t="n">
        <v>6</v>
      </c>
      <c r="B17" s="0" t="n">
        <v>2355</v>
      </c>
      <c r="C17" s="0" t="n">
        <v>2138020</v>
      </c>
      <c r="L17" s="5"/>
    </row>
    <row r="18" customFormat="false" ht="12.75" hidden="false" customHeight="false" outlineLevel="0" collapsed="false">
      <c r="A18" s="204" t="n">
        <v>7</v>
      </c>
      <c r="B18" s="0" t="n">
        <v>2346</v>
      </c>
      <c r="C18" s="0" t="n">
        <v>2754289</v>
      </c>
      <c r="L18" s="5"/>
    </row>
    <row r="19" customFormat="false" ht="12.75" hidden="false" customHeight="false" outlineLevel="0" collapsed="false">
      <c r="A19" s="204" t="n">
        <v>8</v>
      </c>
      <c r="B19" s="0" t="n">
        <v>2464</v>
      </c>
      <c r="C19" s="0" t="n">
        <v>3458013</v>
      </c>
      <c r="L19" s="5"/>
    </row>
    <row r="20" customFormat="false" ht="12.75" hidden="false" customHeight="false" outlineLevel="0" collapsed="false">
      <c r="A20" s="204" t="n">
        <v>9</v>
      </c>
      <c r="B20" s="0" t="n">
        <v>2842</v>
      </c>
      <c r="C20" s="0" t="n">
        <v>4302288</v>
      </c>
      <c r="L20" s="5"/>
    </row>
    <row r="21" customFormat="false" ht="12.75" hidden="false" customHeight="false" outlineLevel="0" collapsed="false">
      <c r="A21" s="204" t="n">
        <v>10</v>
      </c>
      <c r="B21" s="0" t="n">
        <v>4049</v>
      </c>
      <c r="C21" s="0" t="n">
        <v>7199403</v>
      </c>
      <c r="L21" s="5"/>
    </row>
    <row r="22" customFormat="false" ht="12.75" hidden="false" customHeight="false" outlineLevel="0" collapsed="false">
      <c r="A22" s="204" t="n">
        <v>11</v>
      </c>
      <c r="B22" s="0" t="n">
        <v>10330</v>
      </c>
      <c r="C22" s="0" t="n">
        <v>21451150</v>
      </c>
      <c r="L22" s="5"/>
    </row>
    <row r="23" customFormat="false" ht="12.75" hidden="false" customHeight="false" outlineLevel="0" collapsed="false">
      <c r="A23" s="204" t="n">
        <v>12</v>
      </c>
      <c r="B23" s="0" t="n">
        <v>648100</v>
      </c>
      <c r="C23" s="0" t="n">
        <v>1551606734</v>
      </c>
      <c r="H23" s="215"/>
      <c r="L23" s="215"/>
    </row>
    <row r="24" customFormat="false" ht="12.75" hidden="false" customHeight="false" outlineLevel="0" collapsed="false">
      <c r="B24" s="43" t="n">
        <f aca="false">SUM(B12:B23)</f>
        <v>688603</v>
      </c>
      <c r="C24" s="43" t="n">
        <f aca="false">SUM(C12:C23)</f>
        <v>1598427576</v>
      </c>
      <c r="D24" s="5"/>
      <c r="E24" s="5"/>
      <c r="F24" s="43" t="n">
        <f aca="false">SUM(C24:E24)</f>
        <v>1598427576</v>
      </c>
      <c r="G24" s="154" t="n">
        <f aca="false">B24/B$69</f>
        <v>0.18173898057175</v>
      </c>
      <c r="H24" s="130" t="n">
        <f aca="false">F24/F$69</f>
        <v>0.0605150673884053</v>
      </c>
      <c r="L24" s="27" t="n">
        <f aca="false">F24/B24</f>
        <v>2321.26141768189</v>
      </c>
    </row>
    <row r="25" customFormat="false" ht="12.75" hidden="false" customHeight="false" outlineLevel="0" collapsed="false">
      <c r="D25" s="5"/>
      <c r="E25" s="5"/>
      <c r="L25" s="5"/>
    </row>
    <row r="26" customFormat="false" ht="12.75" hidden="false" customHeight="false" outlineLevel="0" collapsed="false">
      <c r="A26" s="210" t="s">
        <v>139</v>
      </c>
      <c r="C26" s="21" t="s">
        <v>137</v>
      </c>
      <c r="D26" s="21" t="s">
        <v>181</v>
      </c>
      <c r="E26" s="21" t="s">
        <v>176</v>
      </c>
      <c r="L26" s="5"/>
    </row>
    <row r="27" customFormat="false" ht="12.75" hidden="false" customHeight="false" outlineLevel="0" collapsed="false">
      <c r="A27" s="212" t="s">
        <v>143</v>
      </c>
      <c r="B27" s="213" t="s">
        <v>110</v>
      </c>
      <c r="C27" s="213" t="s">
        <v>126</v>
      </c>
      <c r="D27" s="213" t="s">
        <v>127</v>
      </c>
      <c r="F27" s="214" t="s">
        <v>88</v>
      </c>
      <c r="G27" s="214"/>
      <c r="H27" s="214"/>
      <c r="I27" s="214"/>
      <c r="L27" s="214"/>
    </row>
    <row r="28" customFormat="false" ht="12.75" hidden="false" customHeight="false" outlineLevel="0" collapsed="false">
      <c r="A28" s="204" t="n">
        <v>1</v>
      </c>
      <c r="B28" s="0" t="n">
        <v>144202</v>
      </c>
      <c r="C28" s="0" t="n">
        <v>459470520</v>
      </c>
      <c r="D28" s="0" t="n">
        <v>8226323</v>
      </c>
      <c r="F28" s="43" t="n">
        <f aca="false">SUM(C28:D28)</f>
        <v>467696843</v>
      </c>
      <c r="I28" s="154" t="n">
        <f aca="false">D28/F28</f>
        <v>0.0175890069029181</v>
      </c>
      <c r="L28" s="5"/>
    </row>
    <row r="29" customFormat="false" ht="12.75" hidden="false" customHeight="false" outlineLevel="0" collapsed="false">
      <c r="A29" s="204" t="n">
        <v>2</v>
      </c>
      <c r="B29" s="0" t="n">
        <v>113410</v>
      </c>
      <c r="C29" s="0" t="n">
        <v>396397967</v>
      </c>
      <c r="D29" s="0" t="n">
        <v>16378587</v>
      </c>
      <c r="F29" s="43" t="n">
        <f aca="false">SUM(C29:D29)</f>
        <v>412776554</v>
      </c>
      <c r="I29" s="154" t="n">
        <f aca="false">D29/F29</f>
        <v>0.03967906326385</v>
      </c>
      <c r="L29" s="5"/>
    </row>
    <row r="30" customFormat="false" ht="12.75" hidden="false" customHeight="false" outlineLevel="0" collapsed="false">
      <c r="A30" s="204" t="n">
        <v>3</v>
      </c>
      <c r="B30" s="0" t="n">
        <v>105019</v>
      </c>
      <c r="C30" s="0" t="n">
        <v>393980833</v>
      </c>
      <c r="D30" s="0" t="n">
        <v>27463526</v>
      </c>
      <c r="F30" s="43" t="n">
        <f aca="false">SUM(C30:D30)</f>
        <v>421444359</v>
      </c>
      <c r="I30" s="154" t="n">
        <f aca="false">D30/F30</f>
        <v>0.0651652475908451</v>
      </c>
      <c r="L30" s="5"/>
    </row>
    <row r="31" customFormat="false" ht="12.75" hidden="false" customHeight="false" outlineLevel="0" collapsed="false">
      <c r="A31" s="204" t="n">
        <v>4</v>
      </c>
      <c r="B31" s="0" t="n">
        <v>102783</v>
      </c>
      <c r="C31" s="0" t="n">
        <v>408710051</v>
      </c>
      <c r="D31" s="0" t="n">
        <v>40228690</v>
      </c>
      <c r="F31" s="43" t="n">
        <f aca="false">SUM(C31:D31)</f>
        <v>448938741</v>
      </c>
      <c r="I31" s="154" t="n">
        <f aca="false">D31/F31</f>
        <v>0.0896084171982832</v>
      </c>
      <c r="L31" s="5"/>
    </row>
    <row r="32" customFormat="false" ht="12.75" hidden="false" customHeight="false" outlineLevel="0" collapsed="false">
      <c r="A32" s="204" t="n">
        <v>5</v>
      </c>
      <c r="B32" s="0" t="n">
        <v>97080</v>
      </c>
      <c r="C32" s="0" t="n">
        <v>411462633</v>
      </c>
      <c r="D32" s="0" t="n">
        <v>49398219</v>
      </c>
      <c r="F32" s="43" t="n">
        <f aca="false">SUM(C32:D32)</f>
        <v>460860852</v>
      </c>
      <c r="I32" s="154" t="n">
        <f aca="false">D32/F32</f>
        <v>0.107186841289787</v>
      </c>
      <c r="L32" s="5"/>
    </row>
    <row r="33" customFormat="false" ht="12.75" hidden="false" customHeight="false" outlineLevel="0" collapsed="false">
      <c r="A33" s="204" t="n">
        <v>6</v>
      </c>
      <c r="B33" s="0" t="n">
        <v>90663</v>
      </c>
      <c r="C33" s="0" t="n">
        <v>407237311</v>
      </c>
      <c r="D33" s="0" t="n">
        <v>57517260</v>
      </c>
      <c r="F33" s="43" t="n">
        <f aca="false">SUM(C33:D33)</f>
        <v>464754571</v>
      </c>
      <c r="I33" s="154" t="n">
        <f aca="false">D33/F33</f>
        <v>0.123758352448781</v>
      </c>
      <c r="L33" s="5"/>
    </row>
    <row r="34" customFormat="false" ht="12.75" hidden="false" customHeight="false" outlineLevel="0" collapsed="false">
      <c r="A34" s="204" t="n">
        <v>7</v>
      </c>
      <c r="B34" s="0" t="n">
        <v>71419</v>
      </c>
      <c r="C34" s="0" t="n">
        <v>312363227</v>
      </c>
      <c r="D34" s="0" t="n">
        <v>50409165</v>
      </c>
      <c r="F34" s="43" t="n">
        <f aca="false">SUM(C34:D34)</f>
        <v>362772392</v>
      </c>
      <c r="I34" s="154" t="n">
        <f aca="false">D34/F34</f>
        <v>0.138955350825043</v>
      </c>
      <c r="L34" s="5"/>
    </row>
    <row r="35" customFormat="false" ht="12.75" hidden="false" customHeight="false" outlineLevel="0" collapsed="false">
      <c r="A35" s="204" t="n">
        <v>8</v>
      </c>
      <c r="B35" s="0" t="n">
        <v>67276</v>
      </c>
      <c r="C35" s="0" t="n">
        <v>293185765</v>
      </c>
      <c r="D35" s="0" t="n">
        <v>54512046</v>
      </c>
      <c r="F35" s="43" t="n">
        <f aca="false">SUM(C35:D35)</f>
        <v>347697811</v>
      </c>
      <c r="I35" s="154" t="n">
        <f aca="false">D35/F35</f>
        <v>0.156779951657504</v>
      </c>
      <c r="L35" s="5"/>
    </row>
    <row r="36" customFormat="false" ht="12.75" hidden="false" customHeight="false" outlineLevel="0" collapsed="false">
      <c r="A36" s="204" t="n">
        <v>9</v>
      </c>
      <c r="B36" s="0" t="n">
        <v>69522</v>
      </c>
      <c r="C36" s="0" t="n">
        <v>303738312</v>
      </c>
      <c r="D36" s="0" t="n">
        <v>64647236</v>
      </c>
      <c r="F36" s="43" t="n">
        <f aca="false">SUM(C36:D36)</f>
        <v>368385548</v>
      </c>
      <c r="I36" s="154" t="n">
        <f aca="false">D36/F36</f>
        <v>0.175487980869434</v>
      </c>
      <c r="L36" s="5"/>
    </row>
    <row r="37" customFormat="false" ht="12.75" hidden="false" customHeight="false" outlineLevel="0" collapsed="false">
      <c r="A37" s="204" t="n">
        <v>10</v>
      </c>
      <c r="B37" s="0" t="n">
        <v>77979</v>
      </c>
      <c r="C37" s="0" t="n">
        <v>343902710</v>
      </c>
      <c r="D37" s="0" t="n">
        <v>85228325</v>
      </c>
      <c r="F37" s="43" t="n">
        <f aca="false">SUM(C37:D37)</f>
        <v>429131035</v>
      </c>
      <c r="I37" s="154" t="n">
        <f aca="false">D37/F37</f>
        <v>0.198606761219216</v>
      </c>
      <c r="L37" s="5"/>
    </row>
    <row r="38" customFormat="false" ht="12.75" hidden="false" customHeight="false" outlineLevel="0" collapsed="false">
      <c r="A38" s="204" t="n">
        <v>11</v>
      </c>
      <c r="B38" s="0" t="n">
        <v>104653</v>
      </c>
      <c r="C38" s="0" t="n">
        <v>452841755</v>
      </c>
      <c r="D38" s="0" t="n">
        <v>135203200</v>
      </c>
      <c r="F38" s="43" t="n">
        <f aca="false">SUM(C38:D38)</f>
        <v>588044955</v>
      </c>
      <c r="I38" s="154" t="n">
        <f aca="false">D38/F38</f>
        <v>0.229919836656026</v>
      </c>
      <c r="L38" s="5"/>
    </row>
    <row r="39" customFormat="false" ht="12.75" hidden="false" customHeight="false" outlineLevel="0" collapsed="false">
      <c r="A39" s="204" t="n">
        <v>12</v>
      </c>
      <c r="B39" s="0" t="n">
        <v>333104</v>
      </c>
      <c r="C39" s="0" t="n">
        <v>1364014615</v>
      </c>
      <c r="D39" s="0" t="n">
        <v>592207940</v>
      </c>
      <c r="F39" s="43" t="n">
        <f aca="false">SUM(C39:D39)</f>
        <v>1956222555</v>
      </c>
      <c r="I39" s="154" t="n">
        <f aca="false">D39/F39</f>
        <v>0.30273035063743</v>
      </c>
      <c r="L39" s="5"/>
    </row>
    <row r="40" customFormat="false" ht="12.75" hidden="false" customHeight="false" outlineLevel="0" collapsed="false">
      <c r="B40" s="43" t="n">
        <f aca="false">SUM(B28:B39)</f>
        <v>1377110</v>
      </c>
      <c r="C40" s="43" t="n">
        <f aca="false">SUM(C28:C39)</f>
        <v>5547305699</v>
      </c>
      <c r="D40" s="43" t="n">
        <f aca="false">SUM(D28:D39)</f>
        <v>1181420517</v>
      </c>
      <c r="F40" s="43" t="n">
        <f aca="false">SUM(F28:F39)</f>
        <v>6728726216</v>
      </c>
      <c r="G40" s="154" t="n">
        <f aca="false">B40/B$69</f>
        <v>0.363452624422435</v>
      </c>
      <c r="H40" s="130" t="n">
        <f aca="false">F40/F$69</f>
        <v>0.254743678420729</v>
      </c>
      <c r="L40" s="27" t="n">
        <f aca="false">F40/B40</f>
        <v>4886.12109127085</v>
      </c>
    </row>
    <row r="41" customFormat="false" ht="12.75" hidden="false" customHeight="false" outlineLevel="0" collapsed="false">
      <c r="C41" s="154"/>
      <c r="D41" s="154"/>
      <c r="E41" s="154"/>
      <c r="L41" s="5"/>
    </row>
    <row r="42" customFormat="false" ht="12.75" hidden="false" customHeight="false" outlineLevel="0" collapsed="false">
      <c r="D42" s="154"/>
      <c r="F42" s="43"/>
      <c r="G42" s="154"/>
      <c r="L42" s="5"/>
    </row>
    <row r="43" customFormat="false" ht="12.75" hidden="false" customHeight="false" outlineLevel="0" collapsed="false">
      <c r="D43" s="154"/>
      <c r="E43" s="154"/>
      <c r="G43" s="154"/>
      <c r="L43" s="5"/>
    </row>
    <row r="44" customFormat="false" ht="12.75" hidden="false" customHeight="false" outlineLevel="0" collapsed="false">
      <c r="A44" s="210" t="s">
        <v>139</v>
      </c>
      <c r="C44" s="21" t="s">
        <v>137</v>
      </c>
      <c r="D44" s="21" t="s">
        <v>181</v>
      </c>
      <c r="E44" s="21" t="s">
        <v>176</v>
      </c>
      <c r="L44" s="5"/>
    </row>
    <row r="45" customFormat="false" ht="12.75" hidden="false" customHeight="false" outlineLevel="0" collapsed="false">
      <c r="A45" s="212" t="s">
        <v>144</v>
      </c>
      <c r="B45" s="213" t="s">
        <v>110</v>
      </c>
      <c r="C45" s="213" t="s">
        <v>126</v>
      </c>
      <c r="D45" s="213" t="s">
        <v>127</v>
      </c>
      <c r="E45" s="213" t="s">
        <v>128</v>
      </c>
      <c r="F45" s="214"/>
      <c r="G45" s="214"/>
      <c r="H45" s="214"/>
      <c r="I45" s="214"/>
      <c r="L45" s="214"/>
    </row>
    <row r="46" customFormat="false" ht="12.75" hidden="false" customHeight="false" outlineLevel="0" collapsed="false">
      <c r="L46" s="5"/>
    </row>
    <row r="47" customFormat="false" ht="12.75" hidden="false" customHeight="false" outlineLevel="0" collapsed="false">
      <c r="A47" s="204" t="n">
        <v>1</v>
      </c>
      <c r="B47" s="223" t="n">
        <v>233028</v>
      </c>
      <c r="C47" s="0" t="n">
        <v>995348900</v>
      </c>
      <c r="D47" s="0" t="n">
        <v>457624348</v>
      </c>
      <c r="E47" s="0" t="n">
        <v>29068925</v>
      </c>
      <c r="F47" s="43" t="n">
        <f aca="false">SUM(C47:E47)</f>
        <v>1482042173</v>
      </c>
      <c r="G47" s="27" t="n">
        <f aca="false">F47/B47</f>
        <v>6359.93173781691</v>
      </c>
      <c r="I47" s="154" t="n">
        <f aca="false">E47/F47</f>
        <v>0.0196141010894162</v>
      </c>
      <c r="L47" s="27" t="n">
        <f aca="false">F47/B47</f>
        <v>6359.93173781691</v>
      </c>
    </row>
    <row r="48" customFormat="false" ht="12.75" hidden="false" customHeight="false" outlineLevel="0" collapsed="false">
      <c r="A48" s="204" t="n">
        <v>2</v>
      </c>
      <c r="B48" s="223" t="n">
        <v>168234</v>
      </c>
      <c r="C48" s="0" t="n">
        <v>747097003</v>
      </c>
      <c r="D48" s="0" t="n">
        <v>407530918</v>
      </c>
      <c r="E48" s="0" t="n">
        <v>47146784</v>
      </c>
      <c r="F48" s="43" t="n">
        <f aca="false">SUM(C48:E48)</f>
        <v>1201774705</v>
      </c>
      <c r="G48" s="27" t="n">
        <f aca="false">F48/B48</f>
        <v>7143.47102844847</v>
      </c>
      <c r="I48" s="154" t="n">
        <f aca="false">E48/F48</f>
        <v>0.0392309671720042</v>
      </c>
      <c r="L48" s="27" t="n">
        <f aca="false">F48/B48</f>
        <v>7143.47102844847</v>
      </c>
    </row>
    <row r="49" customFormat="false" ht="12.75" hidden="false" customHeight="false" outlineLevel="0" collapsed="false">
      <c r="A49" s="204" t="n">
        <v>3</v>
      </c>
      <c r="B49" s="223" t="n">
        <v>145948</v>
      </c>
      <c r="C49" s="0" t="n">
        <v>664355765</v>
      </c>
      <c r="D49" s="0" t="n">
        <v>408218124</v>
      </c>
      <c r="E49" s="0" t="n">
        <v>76356835</v>
      </c>
      <c r="F49" s="43" t="n">
        <f aca="false">SUM(C49:E49)</f>
        <v>1148930724</v>
      </c>
      <c r="G49" s="27" t="n">
        <f aca="false">F49/B49</f>
        <v>7872.19231507112</v>
      </c>
      <c r="H49" s="226" t="n">
        <v>100000</v>
      </c>
      <c r="I49" s="154" t="n">
        <f aca="false">E49/F49</f>
        <v>0.066459041789886</v>
      </c>
      <c r="L49" s="27" t="n">
        <f aca="false">F49/B49</f>
        <v>7872.19231507112</v>
      </c>
    </row>
    <row r="50" customFormat="false" ht="12.75" hidden="false" customHeight="false" outlineLevel="0" collapsed="false">
      <c r="A50" s="204" t="n">
        <v>4</v>
      </c>
      <c r="B50" s="223" t="n">
        <v>135662</v>
      </c>
      <c r="C50" s="0" t="n">
        <v>621791700</v>
      </c>
      <c r="D50" s="0" t="n">
        <v>423527256</v>
      </c>
      <c r="E50" s="0" t="n">
        <v>115442674</v>
      </c>
      <c r="F50" s="43" t="n">
        <f aca="false">SUM(C50:E50)</f>
        <v>1160761630</v>
      </c>
      <c r="G50" s="27" t="n">
        <f aca="false">F50/B50</f>
        <v>8556.27684981793</v>
      </c>
      <c r="H50" s="226" t="n">
        <f aca="false">B49</f>
        <v>145948</v>
      </c>
      <c r="I50" s="154" t="n">
        <f aca="false">E50/F50</f>
        <v>0.0994542471222106</v>
      </c>
      <c r="L50" s="27" t="n">
        <f aca="false">F50/B50</f>
        <v>8556.27684981793</v>
      </c>
    </row>
    <row r="51" customFormat="false" ht="12.75" hidden="false" customHeight="false" outlineLevel="0" collapsed="false">
      <c r="A51" s="204" t="n">
        <v>5</v>
      </c>
      <c r="B51" s="223" t="n">
        <v>116748</v>
      </c>
      <c r="C51" s="0" t="n">
        <v>552228059</v>
      </c>
      <c r="D51" s="0" t="n">
        <v>407202052</v>
      </c>
      <c r="E51" s="0" t="n">
        <v>139426545</v>
      </c>
      <c r="F51" s="43" t="n">
        <f aca="false">SUM(C51:E51)</f>
        <v>1098856656</v>
      </c>
      <c r="G51" s="27" t="n">
        <f aca="false">F51/B51</f>
        <v>9412.20968239285</v>
      </c>
      <c r="H51" s="226" t="n">
        <f aca="false">B50</f>
        <v>135662</v>
      </c>
      <c r="I51" s="154" t="n">
        <f aca="false">E51/F51</f>
        <v>0.126883287495872</v>
      </c>
      <c r="L51" s="27" t="n">
        <f aca="false">F51/B51</f>
        <v>9412.20968239285</v>
      </c>
    </row>
    <row r="52" customFormat="false" ht="12.75" hidden="false" customHeight="false" outlineLevel="0" collapsed="false">
      <c r="A52" s="204" t="n">
        <v>6</v>
      </c>
      <c r="B52" s="223" t="n">
        <v>95884</v>
      </c>
      <c r="C52" s="0" t="n">
        <v>456500167</v>
      </c>
      <c r="D52" s="0" t="n">
        <v>366221269</v>
      </c>
      <c r="E52" s="0" t="n">
        <v>141839199</v>
      </c>
      <c r="F52" s="43" t="n">
        <f aca="false">SUM(C52:E52)</f>
        <v>964560635</v>
      </c>
      <c r="G52" s="27" t="n">
        <f aca="false">F52/B52</f>
        <v>10059.6620395478</v>
      </c>
      <c r="H52" s="226" t="n">
        <f aca="false">B51</f>
        <v>116748</v>
      </c>
      <c r="I52" s="154" t="n">
        <f aca="false">E52/F52</f>
        <v>0.147050578111142</v>
      </c>
      <c r="L52" s="27" t="n">
        <f aca="false">F52/B52</f>
        <v>10059.6620395478</v>
      </c>
    </row>
    <row r="53" customFormat="false" ht="12.75" hidden="false" customHeight="false" outlineLevel="0" collapsed="false">
      <c r="A53" s="204" t="n">
        <v>7</v>
      </c>
      <c r="B53" s="223" t="n">
        <v>76416</v>
      </c>
      <c r="C53" s="0" t="n">
        <v>343070002</v>
      </c>
      <c r="D53" s="0" t="n">
        <v>299157666</v>
      </c>
      <c r="E53" s="0" t="n">
        <v>130014941</v>
      </c>
      <c r="F53" s="43" t="n">
        <f aca="false">SUM(C53:E53)</f>
        <v>772242609</v>
      </c>
      <c r="G53" s="27" t="n">
        <f aca="false">F53/B53</f>
        <v>10105.77116049</v>
      </c>
      <c r="H53" s="226" t="n">
        <f aca="false">B52</f>
        <v>95884</v>
      </c>
      <c r="I53" s="130" t="n">
        <f aca="false">E53/F53</f>
        <v>0.168360227064342</v>
      </c>
      <c r="L53" s="27" t="n">
        <f aca="false">F53/B53</f>
        <v>10105.77116049</v>
      </c>
    </row>
    <row r="54" customFormat="false" ht="12.75" hidden="false" customHeight="false" outlineLevel="0" collapsed="false">
      <c r="A54" s="204" t="n">
        <v>8</v>
      </c>
      <c r="B54" s="223" t="n">
        <v>69422</v>
      </c>
      <c r="C54" s="0" t="n">
        <v>307844939</v>
      </c>
      <c r="D54" s="0" t="n">
        <v>279926974</v>
      </c>
      <c r="E54" s="0" t="n">
        <v>137129706</v>
      </c>
      <c r="F54" s="43" t="n">
        <f aca="false">SUM(C54:E54)</f>
        <v>724901619</v>
      </c>
      <c r="G54" s="27" t="n">
        <f aca="false">F54/B54</f>
        <v>10441.9581544755</v>
      </c>
      <c r="H54" s="226" t="n">
        <f aca="false">B53</f>
        <v>76416</v>
      </c>
      <c r="I54" s="154" t="n">
        <f aca="false">E54/F54</f>
        <v>0.189170092059072</v>
      </c>
      <c r="L54" s="27" t="n">
        <f aca="false">F54/B54</f>
        <v>10441.9581544755</v>
      </c>
    </row>
    <row r="55" customFormat="false" ht="12.75" hidden="false" customHeight="false" outlineLevel="0" collapsed="false">
      <c r="A55" s="204" t="n">
        <v>9</v>
      </c>
      <c r="B55" s="223" t="n">
        <v>70688</v>
      </c>
      <c r="C55" s="0" t="n">
        <v>312280312</v>
      </c>
      <c r="D55" s="0" t="n">
        <v>292939776</v>
      </c>
      <c r="E55" s="0" t="n">
        <v>162434989</v>
      </c>
      <c r="F55" s="43" t="n">
        <f aca="false">SUM(C55:E55)</f>
        <v>767655077</v>
      </c>
      <c r="G55" s="27" t="n">
        <f aca="false">F55/B55</f>
        <v>10859.7651227931</v>
      </c>
      <c r="H55" s="226" t="n">
        <f aca="false">B54</f>
        <v>69422</v>
      </c>
      <c r="I55" s="154" t="n">
        <f aca="false">E55/F55</f>
        <v>0.211598924916639</v>
      </c>
      <c r="L55" s="27" t="n">
        <f aca="false">F55/B55</f>
        <v>10859.7651227931</v>
      </c>
    </row>
    <row r="56" customFormat="false" ht="12.75" hidden="false" customHeight="false" outlineLevel="0" collapsed="false">
      <c r="A56" s="204" t="n">
        <v>10</v>
      </c>
      <c r="B56" s="223" t="n">
        <v>79232</v>
      </c>
      <c r="C56" s="0" t="n">
        <v>349300164</v>
      </c>
      <c r="D56" s="0" t="n">
        <v>335987969</v>
      </c>
      <c r="E56" s="0" t="n">
        <v>221110150</v>
      </c>
      <c r="F56" s="43" t="n">
        <f aca="false">SUM(C56:E56)</f>
        <v>906398283</v>
      </c>
      <c r="G56" s="27" t="n">
        <f aca="false">F56/B56</f>
        <v>11439.8006234855</v>
      </c>
      <c r="H56" s="226" t="n">
        <f aca="false">B55</f>
        <v>70688</v>
      </c>
      <c r="I56" s="154" t="n">
        <f aca="false">E56/F56</f>
        <v>0.243943699085758</v>
      </c>
      <c r="L56" s="27" t="n">
        <f aca="false">F56/B56</f>
        <v>11439.8006234855</v>
      </c>
    </row>
    <row r="57" customFormat="false" ht="12.75" hidden="false" customHeight="false" outlineLevel="0" collapsed="false">
      <c r="A57" s="204" t="n">
        <v>11</v>
      </c>
      <c r="B57" s="223" t="n">
        <v>110285</v>
      </c>
      <c r="C57" s="0" t="n">
        <v>479385254</v>
      </c>
      <c r="D57" s="0" t="n">
        <v>470878803</v>
      </c>
      <c r="E57" s="0" t="n">
        <v>405946041</v>
      </c>
      <c r="F57" s="43" t="n">
        <f aca="false">SUM(C57:E57)</f>
        <v>1356210098</v>
      </c>
      <c r="G57" s="27" t="n">
        <f aca="false">F57/B57</f>
        <v>12297.3214671079</v>
      </c>
      <c r="H57" s="226" t="n">
        <f aca="false">B56</f>
        <v>79232</v>
      </c>
      <c r="I57" s="154" t="n">
        <f aca="false">E57/F57</f>
        <v>0.299323859628127</v>
      </c>
      <c r="L57" s="27" t="n">
        <f aca="false">F57/B57</f>
        <v>12297.3214671079</v>
      </c>
    </row>
    <row r="58" customFormat="false" ht="12.75" hidden="false" customHeight="false" outlineLevel="0" collapsed="false">
      <c r="A58" s="164" t="n">
        <v>12</v>
      </c>
      <c r="B58" s="223" t="n">
        <v>421707</v>
      </c>
      <c r="C58" s="0" t="n">
        <v>1738877740</v>
      </c>
      <c r="D58" s="0" t="n">
        <v>1738877740</v>
      </c>
      <c r="E58" s="0" t="n">
        <v>3024468756</v>
      </c>
      <c r="F58" s="169" t="n">
        <f aca="false">SUM(C58:E58)</f>
        <v>6502224236</v>
      </c>
      <c r="G58" s="27" t="n">
        <f aca="false">F58/B58</f>
        <v>15418.8197871982</v>
      </c>
      <c r="H58" s="226" t="n">
        <f aca="false">B57</f>
        <v>110285</v>
      </c>
      <c r="I58" s="154" t="n">
        <f aca="false">E58/F58</f>
        <v>0.46514371793806</v>
      </c>
      <c r="L58" s="27" t="n">
        <f aca="false">F58/B58</f>
        <v>15418.8197871982</v>
      </c>
    </row>
    <row r="59" customFormat="false" ht="12.75" hidden="false" customHeight="false" outlineLevel="0" collapsed="false">
      <c r="A59" s="204" t="s">
        <v>121</v>
      </c>
      <c r="B59" s="43" t="n">
        <f aca="false">SUM(B47:B58)</f>
        <v>1723254</v>
      </c>
      <c r="C59" s="43" t="n">
        <f aca="false">SUM(C47:C58)</f>
        <v>7568080005</v>
      </c>
      <c r="D59" s="43" t="n">
        <f aca="false">SUM(D47:D58)</f>
        <v>5888092895</v>
      </c>
      <c r="E59" s="43" t="n">
        <f aca="false">SUM(E47:E58)</f>
        <v>4630385545</v>
      </c>
      <c r="F59" s="43" t="n">
        <f aca="false">SUM(F47:F58)</f>
        <v>18086558445</v>
      </c>
      <c r="G59" s="154" t="n">
        <f aca="false">B59/B$69</f>
        <v>0.454808395005816</v>
      </c>
      <c r="H59" s="130" t="n">
        <f aca="false">F59/F$69</f>
        <v>0.684741254190866</v>
      </c>
      <c r="I59" s="154" t="n">
        <f aca="false">E59/F59</f>
        <v>0.256012527705627</v>
      </c>
      <c r="L59" s="27" t="n">
        <f aca="false">F59/B59</f>
        <v>10495.5847745022</v>
      </c>
    </row>
    <row r="60" customFormat="false" ht="12.75" hidden="false" customHeight="false" outlineLevel="0" collapsed="false">
      <c r="C60" s="130" t="n">
        <f aca="false">C59/$F59</f>
        <v>0.418436709671108</v>
      </c>
      <c r="D60" s="130" t="n">
        <f aca="false">D59/$F59</f>
        <v>0.325550762623265</v>
      </c>
      <c r="E60" s="130" t="n">
        <f aca="false">E59/$F59</f>
        <v>0.256012527705627</v>
      </c>
      <c r="F60" s="43" t="n">
        <f aca="false">F59/B59</f>
        <v>10495.5847745022</v>
      </c>
      <c r="G60" s="154"/>
      <c r="H60" s="27" t="n">
        <f aca="false">SUM(H49:H58)</f>
        <v>1000285</v>
      </c>
      <c r="L60" s="130"/>
    </row>
    <row r="61" customFormat="false" ht="12.75" hidden="false" customHeight="false" outlineLevel="0" collapsed="false">
      <c r="C61" s="130"/>
      <c r="D61" s="130"/>
      <c r="E61" s="130"/>
      <c r="F61" s="43"/>
      <c r="G61" s="154"/>
      <c r="H61" s="130"/>
      <c r="L61" s="130"/>
    </row>
    <row r="62" customFormat="false" ht="12.75" hidden="false" customHeight="false" outlineLevel="0" collapsed="false">
      <c r="A62" s="204" t="s">
        <v>145</v>
      </c>
      <c r="B62" s="43" t="n">
        <f aca="false">SUM(B47:B49)</f>
        <v>547210</v>
      </c>
      <c r="C62" s="43" t="n">
        <f aca="false">SUM(C47:C49)</f>
        <v>2406801668</v>
      </c>
      <c r="D62" s="43" t="n">
        <f aca="false">SUM(D47:D49)</f>
        <v>1273373390</v>
      </c>
      <c r="E62" s="43" t="n">
        <f aca="false">SUM(E47:E49)</f>
        <v>152572544</v>
      </c>
      <c r="F62" s="43" t="n">
        <f aca="false">SUM(F47:F49)</f>
        <v>3832747602</v>
      </c>
      <c r="G62" s="154" t="n">
        <f aca="false">B62/B69</f>
        <v>0.144421949307027</v>
      </c>
      <c r="L62" s="5"/>
    </row>
    <row r="63" customFormat="false" ht="12.75" hidden="false" customHeight="false" outlineLevel="0" collapsed="false">
      <c r="A63" s="204" t="s">
        <v>146</v>
      </c>
      <c r="B63" s="154"/>
      <c r="C63" s="154" t="n">
        <f aca="false">C62/$F62</f>
        <v>0.627957256236775</v>
      </c>
      <c r="D63" s="154" t="n">
        <f aca="false">D62/$F62</f>
        <v>0.332235127962908</v>
      </c>
      <c r="E63" s="154" t="n">
        <f aca="false">E62/$F62</f>
        <v>0.0398076158003164</v>
      </c>
      <c r="F63" s="43" t="n">
        <f aca="false">F62/B62</f>
        <v>7004.16220829298</v>
      </c>
      <c r="L63" s="5"/>
    </row>
    <row r="64" customFormat="false" ht="12.75" hidden="false" customHeight="false" outlineLevel="0" collapsed="false">
      <c r="F64" s="43"/>
      <c r="G64" s="154"/>
      <c r="L64" s="5"/>
    </row>
    <row r="65" customFormat="false" ht="12.75" hidden="false" customHeight="false" outlineLevel="0" collapsed="false">
      <c r="A65" s="209" t="s">
        <v>147</v>
      </c>
      <c r="B65" s="43" t="n">
        <f aca="false">B58</f>
        <v>421707</v>
      </c>
      <c r="C65" s="43" t="n">
        <f aca="false">C58</f>
        <v>1738877740</v>
      </c>
      <c r="D65" s="43" t="n">
        <f aca="false">D58</f>
        <v>1738877740</v>
      </c>
      <c r="E65" s="43" t="n">
        <f aca="false">E58</f>
        <v>3024468756</v>
      </c>
      <c r="F65" s="43" t="n">
        <f aca="false">SUM(C65:E65)</f>
        <v>6502224236</v>
      </c>
      <c r="G65" s="154" t="n">
        <f aca="false">B65/B69</f>
        <v>0.111298673226766</v>
      </c>
      <c r="L65" s="5"/>
    </row>
    <row r="66" customFormat="false" ht="12.75" hidden="false" customHeight="false" outlineLevel="0" collapsed="false">
      <c r="A66" s="204" t="s">
        <v>146</v>
      </c>
      <c r="B66" s="5"/>
      <c r="C66" s="154" t="n">
        <f aca="false">C65/$F65</f>
        <v>0.26742814103097</v>
      </c>
      <c r="D66" s="154" t="n">
        <f aca="false">D65/$F65</f>
        <v>0.26742814103097</v>
      </c>
      <c r="E66" s="154" t="n">
        <f aca="false">E65/$F65</f>
        <v>0.46514371793806</v>
      </c>
      <c r="F66" s="43" t="n">
        <f aca="false">F65/B65</f>
        <v>15418.8197871982</v>
      </c>
      <c r="L66" s="5"/>
    </row>
    <row r="67" customFormat="false" ht="12.75" hidden="false" customHeight="false" outlineLevel="0" collapsed="false">
      <c r="B67" s="154"/>
      <c r="C67" s="154"/>
      <c r="D67" s="154"/>
      <c r="E67" s="154"/>
      <c r="L67" s="5"/>
    </row>
    <row r="68" customFormat="false" ht="12.75" hidden="false" customHeight="false" outlineLevel="0" collapsed="false">
      <c r="F68" s="43"/>
      <c r="G68" s="154"/>
      <c r="L68" s="5"/>
    </row>
    <row r="69" customFormat="false" ht="12.75" hidden="false" customHeight="false" outlineLevel="0" collapsed="false">
      <c r="A69" s="204" t="s">
        <v>162</v>
      </c>
      <c r="B69" s="43" t="n">
        <f aca="false">B24+B40+B59</f>
        <v>3788967</v>
      </c>
      <c r="C69" s="43" t="n">
        <f aca="false">C24+C40+C59</f>
        <v>14713813280</v>
      </c>
      <c r="D69" s="43" t="n">
        <f aca="false">D24+D40+D59</f>
        <v>7069513412</v>
      </c>
      <c r="E69" s="43" t="n">
        <f aca="false">E24+E40+E59</f>
        <v>4630385545</v>
      </c>
      <c r="F69" s="43" t="n">
        <f aca="false">SUM(C69:E69)</f>
        <v>26413712237</v>
      </c>
      <c r="L69" s="5"/>
    </row>
    <row r="70" customFormat="false" ht="12.75" hidden="false" customHeight="false" outlineLevel="0" collapsed="false">
      <c r="C70" s="154" t="n">
        <f aca="false">C69/$F69</f>
        <v>0.557052077647347</v>
      </c>
      <c r="D70" s="154" t="n">
        <f aca="false">D69/$F69</f>
        <v>0.267645583042929</v>
      </c>
      <c r="E70" s="154" t="n">
        <f aca="false">E69/$F69</f>
        <v>0.175302339309725</v>
      </c>
      <c r="F70" s="43" t="n">
        <f aca="false">F69/B69</f>
        <v>6971.21728349706</v>
      </c>
      <c r="L70" s="5"/>
    </row>
    <row r="71" customFormat="false" ht="12.75" hidden="false" customHeight="false" outlineLevel="0" collapsed="false">
      <c r="F71" s="43"/>
      <c r="L71" s="5"/>
    </row>
    <row r="72" customFormat="false" ht="12.75" hidden="false" customHeight="false" outlineLevel="0" collapsed="false">
      <c r="L72" s="5"/>
    </row>
    <row r="73" customFormat="false" ht="12.75" hidden="false" customHeight="false" outlineLevel="0" collapsed="false">
      <c r="A73" s="204" t="s">
        <v>163</v>
      </c>
      <c r="B73" s="43" t="n">
        <v>1295774</v>
      </c>
      <c r="C73" s="43" t="n">
        <v>3756167710</v>
      </c>
      <c r="D73" s="43" t="n">
        <v>75702878</v>
      </c>
      <c r="E73" s="43" t="n">
        <v>0</v>
      </c>
      <c r="F73" s="43" t="n">
        <f aca="false">SUM(B73:E73)</f>
        <v>3833166362</v>
      </c>
      <c r="G73" s="154" t="n">
        <f aca="false">B73/B69</f>
        <v>0.341986087500894</v>
      </c>
      <c r="L73" s="5"/>
    </row>
    <row r="74" customFormat="false" ht="12.75" hidden="false" customHeight="false" outlineLevel="0" collapsed="false">
      <c r="C74" s="154" t="n">
        <f aca="false">C73/$F73</f>
        <v>0.979912520165228</v>
      </c>
      <c r="D74" s="154" t="n">
        <f aca="false">D73/$F73</f>
        <v>0.0197494371103948</v>
      </c>
      <c r="E74" s="154" t="n">
        <f aca="false">E73/$F73</f>
        <v>0</v>
      </c>
      <c r="F74" s="43" t="n">
        <f aca="false">F73/B73</f>
        <v>2958.20595412472</v>
      </c>
      <c r="L74" s="5"/>
    </row>
    <row r="75" customFormat="false" ht="12.75" hidden="false" customHeight="false" outlineLevel="0" collapsed="false">
      <c r="C75" s="154"/>
      <c r="D75" s="154"/>
      <c r="E75" s="154"/>
      <c r="F75" s="43"/>
      <c r="L75" s="5"/>
    </row>
    <row r="76" customFormat="false" ht="12.75" hidden="false" customHeight="false" outlineLevel="0" collapsed="false">
      <c r="A76" s="214" t="s">
        <v>149</v>
      </c>
      <c r="B76" s="5"/>
      <c r="F76" s="43"/>
      <c r="L76" s="5"/>
    </row>
    <row r="77" customFormat="false" ht="12.75" hidden="false" customHeight="false" outlineLevel="0" collapsed="false">
      <c r="A77" s="204" t="s">
        <v>104</v>
      </c>
      <c r="B77" s="212" t="s">
        <v>150</v>
      </c>
      <c r="C77" s="43" t="s">
        <v>151</v>
      </c>
      <c r="D77" s="212" t="s">
        <v>143</v>
      </c>
      <c r="E77" s="43" t="s">
        <v>152</v>
      </c>
      <c r="F77" s="212" t="s">
        <v>144</v>
      </c>
      <c r="L77" s="5"/>
    </row>
    <row r="78" customFormat="false" ht="12.75" hidden="false" customHeight="false" outlineLevel="0" collapsed="false">
      <c r="A78" s="204" t="n">
        <v>1</v>
      </c>
      <c r="B78" s="5" t="n">
        <f aca="false">A12*B12</f>
        <v>4335</v>
      </c>
      <c r="C78" s="5" t="n">
        <f aca="false">(12-A28)*B28</f>
        <v>1586222</v>
      </c>
      <c r="D78" s="5" t="n">
        <f aca="false">A28*B28</f>
        <v>144202</v>
      </c>
      <c r="E78" s="5" t="n">
        <f aca="false">(12-A47)*B47</f>
        <v>2563308</v>
      </c>
      <c r="F78" s="5" t="n">
        <f aca="false">A47*B47</f>
        <v>233028</v>
      </c>
      <c r="L78" s="5"/>
    </row>
    <row r="79" customFormat="false" ht="12.75" hidden="false" customHeight="false" outlineLevel="0" collapsed="false">
      <c r="A79" s="204" t="n">
        <v>2</v>
      </c>
      <c r="B79" s="5" t="n">
        <f aca="false">A13*B13</f>
        <v>7472</v>
      </c>
      <c r="C79" s="5" t="n">
        <f aca="false">(12-A29)*B29</f>
        <v>1134100</v>
      </c>
      <c r="D79" s="5" t="n">
        <f aca="false">A29*B29</f>
        <v>226820</v>
      </c>
      <c r="E79" s="5" t="n">
        <f aca="false">(12-A48)*B48</f>
        <v>1682340</v>
      </c>
      <c r="F79" s="5" t="n">
        <f aca="false">A48*B48</f>
        <v>336468</v>
      </c>
      <c r="L79" s="5"/>
    </row>
    <row r="80" customFormat="false" ht="12.75" hidden="false" customHeight="false" outlineLevel="0" collapsed="false">
      <c r="A80" s="204" t="n">
        <v>3</v>
      </c>
      <c r="B80" s="5" t="n">
        <f aca="false">A14*B14</f>
        <v>9942</v>
      </c>
      <c r="C80" s="5" t="n">
        <f aca="false">(12-A30)*B30</f>
        <v>945171</v>
      </c>
      <c r="D80" s="5" t="n">
        <f aca="false">A30*B30</f>
        <v>315057</v>
      </c>
      <c r="E80" s="5" t="n">
        <f aca="false">(12-A49)*B49</f>
        <v>1313532</v>
      </c>
      <c r="F80" s="5" t="n">
        <f aca="false">A49*B49</f>
        <v>437844</v>
      </c>
      <c r="L80" s="5"/>
    </row>
    <row r="81" customFormat="false" ht="12.75" hidden="false" customHeight="false" outlineLevel="0" collapsed="false">
      <c r="A81" s="204" t="n">
        <v>4</v>
      </c>
      <c r="B81" s="5" t="n">
        <f aca="false">A15*B15</f>
        <v>10188</v>
      </c>
      <c r="C81" s="5" t="n">
        <f aca="false">(12-A31)*B31</f>
        <v>822264</v>
      </c>
      <c r="D81" s="5" t="n">
        <f aca="false">A31*B31</f>
        <v>411132</v>
      </c>
      <c r="E81" s="5" t="n">
        <f aca="false">(12-A50)*B50</f>
        <v>1085296</v>
      </c>
      <c r="F81" s="5" t="n">
        <f aca="false">A50*B50</f>
        <v>542648</v>
      </c>
      <c r="L81" s="5"/>
    </row>
    <row r="82" customFormat="false" ht="12.75" hidden="false" customHeight="false" outlineLevel="0" collapsed="false">
      <c r="A82" s="204" t="n">
        <v>5</v>
      </c>
      <c r="B82" s="5" t="n">
        <f aca="false">A16*B16</f>
        <v>10925</v>
      </c>
      <c r="C82" s="5" t="n">
        <f aca="false">(12-A32)*B32</f>
        <v>679560</v>
      </c>
      <c r="D82" s="5" t="n">
        <f aca="false">A32*B32</f>
        <v>485400</v>
      </c>
      <c r="E82" s="5" t="n">
        <f aca="false">(12-A51)*B51</f>
        <v>817236</v>
      </c>
      <c r="F82" s="5" t="n">
        <f aca="false">A51*B51</f>
        <v>583740</v>
      </c>
      <c r="L82" s="5"/>
    </row>
    <row r="83" customFormat="false" ht="12.75" hidden="false" customHeight="false" outlineLevel="0" collapsed="false">
      <c r="A83" s="204" t="n">
        <v>6</v>
      </c>
      <c r="B83" s="5" t="n">
        <f aca="false">A17*B17</f>
        <v>14130</v>
      </c>
      <c r="C83" s="5" t="n">
        <f aca="false">(12-A33)*B33</f>
        <v>543978</v>
      </c>
      <c r="D83" s="5" t="n">
        <f aca="false">A33*B33</f>
        <v>543978</v>
      </c>
      <c r="E83" s="5" t="n">
        <f aca="false">(12-A52)*B52</f>
        <v>575304</v>
      </c>
      <c r="F83" s="5" t="n">
        <f aca="false">A52*B52</f>
        <v>575304</v>
      </c>
      <c r="L83" s="5"/>
    </row>
    <row r="84" customFormat="false" ht="12.75" hidden="false" customHeight="false" outlineLevel="0" collapsed="false">
      <c r="A84" s="204" t="n">
        <v>7</v>
      </c>
      <c r="B84" s="5" t="n">
        <f aca="false">A18*B18</f>
        <v>16422</v>
      </c>
      <c r="C84" s="5" t="n">
        <f aca="false">(12-A34)*B34</f>
        <v>357095</v>
      </c>
      <c r="D84" s="5" t="n">
        <f aca="false">A34*B34</f>
        <v>499933</v>
      </c>
      <c r="E84" s="5" t="n">
        <f aca="false">(12-A53)*B53</f>
        <v>382080</v>
      </c>
      <c r="F84" s="5" t="n">
        <f aca="false">A53*B53</f>
        <v>534912</v>
      </c>
      <c r="L84" s="5"/>
    </row>
    <row r="85" customFormat="false" ht="12.75" hidden="false" customHeight="false" outlineLevel="0" collapsed="false">
      <c r="A85" s="204" t="n">
        <v>8</v>
      </c>
      <c r="B85" s="5" t="n">
        <f aca="false">A19*B19</f>
        <v>19712</v>
      </c>
      <c r="C85" s="5" t="n">
        <f aca="false">(12-A35)*B35</f>
        <v>269104</v>
      </c>
      <c r="D85" s="5" t="n">
        <f aca="false">A35*B35</f>
        <v>538208</v>
      </c>
      <c r="E85" s="5" t="n">
        <f aca="false">(12-A54)*B54</f>
        <v>277688</v>
      </c>
      <c r="F85" s="5" t="n">
        <f aca="false">A54*B54</f>
        <v>555376</v>
      </c>
      <c r="L85" s="5"/>
    </row>
    <row r="86" customFormat="false" ht="12.75" hidden="false" customHeight="false" outlineLevel="0" collapsed="false">
      <c r="A86" s="204" t="n">
        <v>9</v>
      </c>
      <c r="B86" s="5" t="n">
        <f aca="false">A20*B20</f>
        <v>25578</v>
      </c>
      <c r="C86" s="5" t="n">
        <f aca="false">(12-A36)*B36</f>
        <v>208566</v>
      </c>
      <c r="D86" s="5" t="n">
        <f aca="false">A36*B36</f>
        <v>625698</v>
      </c>
      <c r="E86" s="5" t="n">
        <f aca="false">(12-A55)*B55</f>
        <v>212064</v>
      </c>
      <c r="F86" s="5" t="n">
        <f aca="false">A55*B55</f>
        <v>636192</v>
      </c>
      <c r="L86" s="5"/>
    </row>
    <row r="87" customFormat="false" ht="12.75" hidden="false" customHeight="false" outlineLevel="0" collapsed="false">
      <c r="A87" s="204" t="n">
        <v>10</v>
      </c>
      <c r="B87" s="5" t="n">
        <f aca="false">A21*B21</f>
        <v>40490</v>
      </c>
      <c r="C87" s="5" t="n">
        <f aca="false">(12-A37)*B37</f>
        <v>155958</v>
      </c>
      <c r="D87" s="5" t="n">
        <f aca="false">A37*B37</f>
        <v>779790</v>
      </c>
      <c r="E87" s="5" t="n">
        <f aca="false">(12-A56)*B56</f>
        <v>158464</v>
      </c>
      <c r="F87" s="5" t="n">
        <f aca="false">A56*B56</f>
        <v>792320</v>
      </c>
      <c r="L87" s="5"/>
    </row>
    <row r="88" customFormat="false" ht="12.75" hidden="false" customHeight="false" outlineLevel="0" collapsed="false">
      <c r="A88" s="204" t="n">
        <v>11</v>
      </c>
      <c r="B88" s="5" t="n">
        <f aca="false">A22*B22</f>
        <v>113630</v>
      </c>
      <c r="C88" s="5" t="n">
        <f aca="false">(12-A38)*B38</f>
        <v>104653</v>
      </c>
      <c r="D88" s="5" t="n">
        <f aca="false">A38*B38</f>
        <v>1151183</v>
      </c>
      <c r="E88" s="5" t="n">
        <f aca="false">(12-A57)*B57</f>
        <v>110285</v>
      </c>
      <c r="F88" s="5" t="n">
        <f aca="false">A57*B57</f>
        <v>1213135</v>
      </c>
      <c r="L88" s="5"/>
    </row>
    <row r="89" customFormat="false" ht="12.75" hidden="false" customHeight="false" outlineLevel="0" collapsed="false">
      <c r="A89" s="204" t="n">
        <v>12</v>
      </c>
      <c r="B89" s="5" t="n">
        <f aca="false">A23*B23</f>
        <v>7777200</v>
      </c>
      <c r="C89" s="5" t="n">
        <f aca="false">(12-A39)*B39</f>
        <v>0</v>
      </c>
      <c r="D89" s="5" t="n">
        <f aca="false">A39*B39</f>
        <v>3997248</v>
      </c>
      <c r="E89" s="5" t="n">
        <f aca="false">(12-A58)*B58</f>
        <v>0</v>
      </c>
      <c r="F89" s="5" t="n">
        <f aca="false">A58*B58</f>
        <v>5060484</v>
      </c>
      <c r="L89" s="5"/>
    </row>
    <row r="90" customFormat="false" ht="12.75" hidden="false" customHeight="false" outlineLevel="0" collapsed="false">
      <c r="B90" s="43" t="n">
        <f aca="false">SUM(B78:B89)</f>
        <v>8050024</v>
      </c>
      <c r="C90" s="43" t="n">
        <f aca="false">SUM(C78:C89)</f>
        <v>6806671</v>
      </c>
      <c r="D90" s="43" t="n">
        <f aca="false">SUM(D78:D89)</f>
        <v>9718649</v>
      </c>
      <c r="E90" s="43" t="n">
        <f aca="false">SUM(E78:E89)</f>
        <v>9177597</v>
      </c>
      <c r="F90" s="43" t="n">
        <f aca="false">SUM(F78:F89)</f>
        <v>11501451</v>
      </c>
      <c r="G90" s="43" t="n">
        <f aca="false">SUM(B90:F90)</f>
        <v>45254392</v>
      </c>
      <c r="L90" s="5"/>
    </row>
    <row r="91" customFormat="false" ht="12.75" hidden="false" customHeight="false" outlineLevel="0" collapsed="false">
      <c r="L91" s="5"/>
    </row>
    <row r="92" customFormat="false" ht="12.75" hidden="false" customHeight="false" outlineLevel="0" collapsed="false">
      <c r="A92" s="204" t="s">
        <v>153</v>
      </c>
      <c r="B92" s="43" t="n">
        <f aca="false">B90+C90</f>
        <v>14856695</v>
      </c>
      <c r="C92" s="130" t="n">
        <f aca="false">B92/B$95</f>
        <v>0.328292887019673</v>
      </c>
      <c r="L92" s="5"/>
    </row>
    <row r="93" customFormat="false" ht="12.75" hidden="false" customHeight="false" outlineLevel="0" collapsed="false">
      <c r="A93" s="204" t="s">
        <v>154</v>
      </c>
      <c r="B93" s="43" t="n">
        <f aca="false">D90+E90</f>
        <v>18896246</v>
      </c>
      <c r="C93" s="130" t="n">
        <f aca="false">B93/B$95</f>
        <v>0.417556068370115</v>
      </c>
      <c r="L93" s="5"/>
    </row>
    <row r="94" customFormat="false" ht="12.75" hidden="false" customHeight="false" outlineLevel="0" collapsed="false">
      <c r="A94" s="204" t="s">
        <v>155</v>
      </c>
      <c r="B94" s="43" t="n">
        <f aca="false">F90</f>
        <v>11501451</v>
      </c>
      <c r="C94" s="130" t="n">
        <f aca="false">B94/B$95</f>
        <v>0.254151044610212</v>
      </c>
      <c r="L94" s="5"/>
    </row>
    <row r="95" customFormat="false" ht="12.75" hidden="false" customHeight="false" outlineLevel="0" collapsed="false">
      <c r="B95" s="43" t="n">
        <f aca="false">G90</f>
        <v>45254392</v>
      </c>
      <c r="L95" s="5"/>
    </row>
    <row r="96" customFormat="false" ht="12.75" hidden="false" customHeight="false" outlineLevel="0" collapsed="false">
      <c r="L96" s="5"/>
    </row>
    <row r="97" customFormat="false" ht="12.75" hidden="false" customHeight="false" outlineLevel="0" collapsed="false">
      <c r="G97" s="204" t="s">
        <v>7</v>
      </c>
      <c r="H97" s="204"/>
      <c r="I97" s="204"/>
      <c r="K97" s="135" t="s">
        <v>182</v>
      </c>
      <c r="L97" s="204" t="s">
        <v>182</v>
      </c>
    </row>
    <row r="98" customFormat="false" ht="12.75" hidden="false" customHeight="false" outlineLevel="0" collapsed="false">
      <c r="A98" s="216" t="s">
        <v>179</v>
      </c>
      <c r="B98" s="217" t="s">
        <v>14</v>
      </c>
      <c r="C98" s="77" t="s">
        <v>43</v>
      </c>
      <c r="D98" s="77" t="s">
        <v>172</v>
      </c>
      <c r="E98" s="77" t="s">
        <v>45</v>
      </c>
      <c r="F98" s="77" t="s">
        <v>88</v>
      </c>
      <c r="G98" s="204" t="s">
        <v>14</v>
      </c>
      <c r="H98" s="204"/>
      <c r="I98" s="204"/>
      <c r="K98" s="135" t="s">
        <v>45</v>
      </c>
      <c r="L98" s="204" t="s">
        <v>183</v>
      </c>
    </row>
    <row r="99" customFormat="false" ht="12.75" hidden="false" customHeight="false" outlineLevel="0" collapsed="false">
      <c r="A99" s="204" t="s">
        <v>157</v>
      </c>
      <c r="B99" s="43" t="n">
        <f aca="false">B24+B40</f>
        <v>2065713</v>
      </c>
      <c r="C99" s="43" t="n">
        <f aca="false">C24+C40</f>
        <v>7145733275</v>
      </c>
      <c r="D99" s="43" t="n">
        <f aca="false">D24+D40</f>
        <v>1181420517</v>
      </c>
      <c r="E99" s="43" t="n">
        <v>0</v>
      </c>
      <c r="F99" s="43" t="n">
        <f aca="false">SUM(C99:E99)</f>
        <v>8327153792</v>
      </c>
      <c r="G99" s="154" t="n">
        <f aca="false">B99/B$104</f>
        <v>0.545191604994184</v>
      </c>
      <c r="K99" s="223"/>
    </row>
    <row r="100" customFormat="false" ht="12.75" hidden="false" customHeight="false" outlineLevel="0" collapsed="false">
      <c r="A100" s="204" t="s">
        <v>158</v>
      </c>
      <c r="B100" s="43" t="n">
        <f aca="false">B47+B48+B49</f>
        <v>547210</v>
      </c>
      <c r="C100" s="43" t="n">
        <f aca="false">C47+C48+C49</f>
        <v>2406801668</v>
      </c>
      <c r="D100" s="43" t="n">
        <f aca="false">D47+D48+D49</f>
        <v>1273373390</v>
      </c>
      <c r="E100" s="43" t="n">
        <f aca="false">E47+E48+E49</f>
        <v>152572544</v>
      </c>
      <c r="F100" s="43" t="n">
        <f aca="false">SUM(C100:E100)</f>
        <v>3832747602</v>
      </c>
      <c r="G100" s="154" t="n">
        <f aca="false">B100/B$104</f>
        <v>0.144421949307027</v>
      </c>
      <c r="H100" s="130"/>
      <c r="I100" s="130"/>
      <c r="K100" s="223" t="n">
        <f aca="false">E100/B100</f>
        <v>278.818998190823</v>
      </c>
      <c r="L100" s="223" t="n">
        <f aca="false">F100/B100</f>
        <v>7004.16220829298</v>
      </c>
    </row>
    <row r="101" customFormat="false" ht="12.75" hidden="false" customHeight="false" outlineLevel="0" collapsed="false">
      <c r="A101" s="204" t="s">
        <v>159</v>
      </c>
      <c r="B101" s="43" t="n">
        <f aca="false">B50+B51+B52+B53</f>
        <v>424710</v>
      </c>
      <c r="C101" s="43" t="n">
        <f aca="false">C50+C51+C52+C53</f>
        <v>1973589928</v>
      </c>
      <c r="D101" s="43" t="n">
        <f aca="false">D50+D51+D52+D53</f>
        <v>1496108243</v>
      </c>
      <c r="E101" s="43" t="n">
        <f aca="false">E50+E51+E52+E53</f>
        <v>526723359</v>
      </c>
      <c r="F101" s="43" t="n">
        <f aca="false">SUM(C101:E101)</f>
        <v>3996421530</v>
      </c>
      <c r="G101" s="154" t="n">
        <f aca="false">B101/B$104</f>
        <v>0.112091237532552</v>
      </c>
      <c r="H101" s="130"/>
      <c r="I101" s="130"/>
      <c r="K101" s="223" t="n">
        <f aca="false">E101/B101</f>
        <v>1240.19533093169</v>
      </c>
      <c r="L101" s="223" t="n">
        <f aca="false">F101/B101</f>
        <v>9409.76555767465</v>
      </c>
    </row>
    <row r="102" customFormat="false" ht="12.75" hidden="false" customHeight="false" outlineLevel="0" collapsed="false">
      <c r="A102" s="204" t="s">
        <v>160</v>
      </c>
      <c r="B102" s="43" t="n">
        <f aca="false">B54+B55+B56+B57</f>
        <v>329627</v>
      </c>
      <c r="C102" s="43" t="n">
        <f aca="false">C54+C55+C56+C57</f>
        <v>1448810669</v>
      </c>
      <c r="D102" s="43" t="n">
        <f aca="false">D54+D55+D56+D57</f>
        <v>1379733522</v>
      </c>
      <c r="E102" s="43" t="n">
        <f aca="false">E54+E55+E56+E57</f>
        <v>926620886</v>
      </c>
      <c r="F102" s="43" t="n">
        <f aca="false">SUM(C102:E102)</f>
        <v>3755165077</v>
      </c>
      <c r="G102" s="154" t="n">
        <f aca="false">B102/B$104</f>
        <v>0.0869965349394703</v>
      </c>
      <c r="H102" s="130"/>
      <c r="I102" s="130"/>
      <c r="K102" s="223" t="n">
        <f aca="false">E102/B102</f>
        <v>2811.11949567238</v>
      </c>
      <c r="L102" s="223" t="n">
        <f aca="false">F102/B102</f>
        <v>11392.1647104151</v>
      </c>
    </row>
    <row r="103" customFormat="false" ht="12.75" hidden="false" customHeight="false" outlineLevel="0" collapsed="false">
      <c r="A103" s="204" t="s">
        <v>120</v>
      </c>
      <c r="B103" s="43" t="n">
        <f aca="false">B58</f>
        <v>421707</v>
      </c>
      <c r="C103" s="43" t="n">
        <f aca="false">C58</f>
        <v>1738877740</v>
      </c>
      <c r="D103" s="43" t="n">
        <f aca="false">D58</f>
        <v>1738877740</v>
      </c>
      <c r="E103" s="43" t="n">
        <f aca="false">E58</f>
        <v>3024468756</v>
      </c>
      <c r="F103" s="43" t="n">
        <f aca="false">SUM(C103:E103)</f>
        <v>6502224236</v>
      </c>
      <c r="G103" s="154" t="n">
        <f aca="false">B103/B$104</f>
        <v>0.111298673226766</v>
      </c>
      <c r="H103" s="215"/>
      <c r="I103" s="219"/>
      <c r="K103" s="223" t="n">
        <f aca="false">E103/B103</f>
        <v>7171.9671620343</v>
      </c>
      <c r="L103" s="223" t="n">
        <f aca="false">F103/B103</f>
        <v>15418.8197871982</v>
      </c>
    </row>
    <row r="104" customFormat="false" ht="12.75" hidden="false" customHeight="false" outlineLevel="0" collapsed="false">
      <c r="A104" s="204" t="s">
        <v>88</v>
      </c>
      <c r="B104" s="43" t="n">
        <f aca="false">SUM(B99:B103)</f>
        <v>3788967</v>
      </c>
      <c r="C104" s="43" t="n">
        <f aca="false">SUM(C99:C103)</f>
        <v>14713813280</v>
      </c>
      <c r="D104" s="43" t="n">
        <f aca="false">SUM(D99:D103)</f>
        <v>7069513412</v>
      </c>
      <c r="E104" s="43" t="n">
        <f aca="false">SUM(E99:E103)</f>
        <v>4630385545</v>
      </c>
      <c r="F104" s="43" t="n">
        <f aca="false">SUM(F99:F103)</f>
        <v>26413712237</v>
      </c>
      <c r="G104" s="154" t="n">
        <f aca="false">B104/B$104</f>
        <v>1</v>
      </c>
      <c r="H104" s="130"/>
      <c r="I104" s="130"/>
      <c r="K104" s="223" t="n">
        <f aca="false">E104/B104</f>
        <v>1222.07069763342</v>
      </c>
      <c r="L104" s="223" t="n">
        <f aca="false">F104/B104</f>
        <v>6971.21728349706</v>
      </c>
    </row>
    <row r="105" customFormat="false" ht="12.75" hidden="false" customHeight="false" outlineLevel="0" collapsed="false">
      <c r="G105" s="130"/>
    </row>
  </sheetData>
  <mergeCells count="1">
    <mergeCell ref="A1:E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&amp;CPacific Gas and Electric Company
Rate Design Workpapers
3 Cent Surcharge</oddHeader>
    <oddFooter>&amp;L&amp;D  &amp;T&amp;R&amp;F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2001-02-02T15:02:44Z</dcterms:created>
  <dc:creator/>
  <dc:description/>
  <dc:language>en-US</dc:language>
  <cp:lastModifiedBy>RTP1</cp:lastModifiedBy>
  <cp:lastPrinted>2001-04-13T19:50:57Z</cp:lastPrinted>
  <dcterms:modified xsi:type="dcterms:W3CDTF">2001-04-13T21:35:38Z</dcterms:modified>
  <cp:revision>0</cp:revision>
  <dc:subject/>
  <dc:title/>
</cp:coreProperties>
</file>