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4.xml" ContentType="application/vnd.openxmlformats-officedocument.spreadsheetml.comments+xml"/>
  <Override PartName="/xl/comments12.xml" ContentType="application/vnd.openxmlformats-officedocument.spreadsheetml.comments+xml"/>
  <Override PartName="/xl/comments17.xml" ContentType="application/vnd.openxmlformats-officedocument.spreadsheetml.comment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8.xml.rels" ContentType="application/vnd.openxmlformats-package.relationships+xml"/>
  <Override PartName="/xl/worksheets/_rels/sheet17.xml.rels" ContentType="application/vnd.openxmlformats-package.relationships+xml"/>
  <Override PartName="/xl/worksheets/_rels/sheet15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drawing4.xml" ContentType="application/vnd.openxmlformats-officedocument.drawing+xml"/>
  <Override PartName="/xl/drawings/vmlDrawing7.vml" ContentType="application/vnd.openxmlformats-officedocument.vmlDrawing"/>
  <Override PartName="/xl/drawings/drawing5.xml" ContentType="application/vnd.openxmlformats-officedocument.drawing+xml"/>
  <Override PartName="/xl/drawings/vmlDrawing8.vml" ContentType="application/vnd.openxmlformats-officedocument.vmlDrawing"/>
  <Override PartName="/xl/comments13.xml" ContentType="application/vnd.openxmlformats-officedocument.spreadsheetml.comment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comments18.xml" ContentType="application/vnd.openxmlformats-officedocument.spreadsheetml.comments+xml"/>
  <Override PartName="/xl/theme/theme1.xml" ContentType="application/vnd.openxmlformats-officedocument.theme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Explaination about this model" sheetId="1" state="hidden" r:id="rId3"/>
    <sheet name="Org Chart" sheetId="2" state="visible" r:id="rId4"/>
    <sheet name="Summary" sheetId="3" state="hidden" r:id="rId5"/>
    <sheet name="Assumptions" sheetId="4" state="visible" r:id="rId6"/>
    <sheet name="Fin Stats and Ratios" sheetId="5" state="visible" r:id="rId7"/>
    <sheet name="Debt" sheetId="6" state="visible" r:id="rId8"/>
    <sheet name="Lev. Consolid" sheetId="7" state="visible" r:id="rId9"/>
    <sheet name="Unlev. Consolid" sheetId="8" state="visible" r:id="rId10"/>
    <sheet name="Consolid IS" sheetId="9" state="visible" r:id="rId11"/>
    <sheet name="Consolid BS" sheetId="10" state="visible" r:id="rId12"/>
    <sheet name="Consolid CF" sheetId="11" state="visible" r:id="rId13"/>
    <sheet name="Pipeline Co DCF" sheetId="12" state="visible" r:id="rId14"/>
    <sheet name="Pipeline Co IS" sheetId="13" state="visible" r:id="rId15"/>
    <sheet name="Pipeline Co BS" sheetId="14" state="visible" r:id="rId16"/>
    <sheet name="Pipeline Co CF" sheetId="15" state="visible" r:id="rId17"/>
    <sheet name="Pipeline Vols" sheetId="16" state="visible" r:id="rId18"/>
    <sheet name="Consumers DCF" sheetId="17" state="visible" r:id="rId19"/>
    <sheet name="Corp DCF" sheetId="18" state="visible" r:id="rId20"/>
    <sheet name="Curves" sheetId="19" state="visible" r:id="rId21"/>
    <sheet name="Scenarios" sheetId="20" state="visible" r:id="rId22"/>
    <sheet name="Cons. BS" sheetId="21" state="hidden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function="false" hidden="false" localSheetId="3" name="_xlnm.Print_Area" vbProcedure="false">Assumptions!$A$3:$J$28</definedName>
    <definedName function="false" hidden="false" localSheetId="16" name="_xlnm.Print_Area" vbProcedure="false">'Consumers DCF'!$A$47:$Q$117</definedName>
    <definedName function="false" hidden="false" localSheetId="17" name="_xlnm.Print_Area" vbProcedure="false">'Corp DCF'!$A$47:$Q$117</definedName>
    <definedName function="false" hidden="false" localSheetId="18" name="_xlnm.Print_Area" vbProcedure="false">Curves!$A$1:$N$51</definedName>
    <definedName function="false" hidden="false" localSheetId="5" name="_xlnm.Print_Area" vbProcedure="false">Debt!$A$1:$N$28</definedName>
    <definedName function="false" hidden="false" localSheetId="6" name="_xlnm.Print_Area" vbProcedure="false">'Lev. Consolid'!$A$1:$O$46</definedName>
    <definedName function="false" hidden="false" localSheetId="13" name="_xlnm.Print_Area" vbProcedure="false">'Pipeline Co BS'!$A$1:$T$76</definedName>
    <definedName function="false" hidden="false" localSheetId="14" name="_xlnm.Print_Area" vbProcedure="false">'Pipeline Co CF'!$A$1:$S$62</definedName>
    <definedName function="false" hidden="false" localSheetId="11" name="_xlnm.Print_Area" vbProcedure="false">'Pipeline Co DCF'!$A$1:$R$46</definedName>
    <definedName function="false" hidden="false" localSheetId="12" name="_xlnm.Print_Area" vbProcedure="false">'Pipeline Co IS'!$A$1:$Q$71</definedName>
    <definedName function="false" hidden="false" localSheetId="19" name="_xlnm.Print_Area" vbProcedure="false">Scenarios!$A$1:$M$29</definedName>
    <definedName function="false" hidden="false" localSheetId="7" name="_xlnm.Print_Area" vbProcedure="false">'Unlev. Consolid'!$A$1:$S$89</definedName>
    <definedName function="false" hidden="false" name="AACFHDRCOL" vbProcedure="false">[1]JuneYTD!$BG$80</definedName>
    <definedName function="false" hidden="false" name="AACFHDRROW" vbProcedure="false">[1]JuneYTD!$BG$80</definedName>
    <definedName function="false" hidden="false" name="AACFWKS" vbProcedure="false">[1]JuneYTD!$BG$80</definedName>
    <definedName function="false" hidden="false" name="AACFWKS1" vbProcedure="false">[1]JuneYTD!$BG$80</definedName>
    <definedName function="false" hidden="false" name="AACFWKS2" vbProcedure="false">[1]JuneYTD!$BG$80</definedName>
    <definedName function="false" hidden="false" name="AAWSSIDEWAYS" vbProcedure="false">[1]JuneYTD!$BG$80</definedName>
    <definedName function="false" hidden="false" name="ADJUSTMENTS" vbProcedure="false">[1]JuneYTD!$BG$80</definedName>
    <definedName function="false" hidden="false" name="AgLoop" vbProcedure="false">[2]Agave!$J$50</definedName>
    <definedName function="false" hidden="false" name="AgPurPrice" vbProcedure="false">[2]Agave!$K$50</definedName>
    <definedName function="false" hidden="false" name="ArkDRate" vbProcedure="false">#REF!</definedName>
    <definedName function="false" hidden="false" name="ArkLoop" vbProcedure="false">#REF!</definedName>
    <definedName function="false" hidden="false" name="ArkNPVPrice" vbProcedure="false">#REF!</definedName>
    <definedName function="false" hidden="false" name="ArkPurPrice" vbProcedure="false">#REF!</definedName>
    <definedName function="false" hidden="false" name="ARLoop" vbProcedure="false">'[4]Antelope Ridge'!$J$73</definedName>
    <definedName function="false" hidden="false" name="ARPurPrice" vbProcedure="false">'[4]Antelope Ridge'!$K$73</definedName>
    <definedName function="false" hidden="false" name="Asset1Drate" vbProcedure="false">'Consumers DCF'!$L$41</definedName>
    <definedName function="false" hidden="false" name="Asset1Loop" vbProcedure="false">'Consumers DCF'!$F$43</definedName>
    <definedName function="false" hidden="false" name="Asset1NPVPrice" vbProcedure="false">'Consumers DCF'!$L$43</definedName>
    <definedName function="false" hidden="false" name="Asset1PurPrice" vbProcedure="false">'Consumers DCF'!$G$43</definedName>
    <definedName function="false" hidden="false" name="Asset2Drate" vbProcedure="false">'Corp DCF'!$L$41</definedName>
    <definedName function="false" hidden="false" name="Asset2Loop" vbProcedure="false">'Corp DCF'!$F$43</definedName>
    <definedName function="false" hidden="false" name="Asset2NPVPrice" vbProcedure="false">'Corp DCF'!$L$43</definedName>
    <definedName function="false" hidden="false" name="Asset2PurPrice" vbProcedure="false">'Corp DCF'!$G$43</definedName>
    <definedName function="false" hidden="false" name="Asset3Drate" vbProcedure="false">'Pipeline Co DCF'!$L$43</definedName>
    <definedName function="false" hidden="false" name="Asset3Loop" vbProcedure="false">'Pipeline Co DCF'!$F$45</definedName>
    <definedName function="false" hidden="false" name="Asset3NPVPrice" vbProcedure="false">'Pipeline Co DCF'!$L$45</definedName>
    <definedName function="false" hidden="false" name="Asset3PurPrice" vbProcedure="false">'Pipeline Co DCF'!$G$45</definedName>
    <definedName function="false" hidden="false" name="Asset4DRate" vbProcedure="false">#REF!</definedName>
    <definedName function="false" hidden="false" name="Asset4Loop" vbProcedure="false">#REF!</definedName>
    <definedName function="false" hidden="false" name="Asset4NPVPrice" vbProcedure="false">#REF!</definedName>
    <definedName function="false" hidden="false" name="Asset4PurPrice" vbProcedure="false">#REF!</definedName>
    <definedName function="false" hidden="false" name="ASSETS" vbProcedure="false">[1]JuneYTD!$BG$80</definedName>
    <definedName function="false" hidden="false" name="AWAACF" vbProcedure="false">[1]JuneYTD!$BG$80</definedName>
    <definedName function="false" hidden="false" name="AWBALSHT" vbProcedure="false">[1]JuneYTD!$BG$80</definedName>
    <definedName function="false" hidden="false" name="AWCFWKS" vbProcedure="false">[1]JuneYTD!$BG$80</definedName>
    <definedName function="false" hidden="false" name="AWGRPCF" vbProcedure="false">[1]JuneYTD!$BG$80</definedName>
    <definedName function="false" hidden="false" name="AWGRPCF_BRDR" vbProcedure="false">[1]JuneYTD!$BG$80</definedName>
    <definedName function="false" hidden="false" name="BALSHT" vbProcedure="false">[1]JuneYTD!$BG$80</definedName>
    <definedName function="false" hidden="false" name="BB" vbProcedure="false">[1]JuneYTD!$BG$80</definedName>
    <definedName function="false" hidden="false" name="BBK" vbProcedure="false">[1]JuneYTD!$BG$80</definedName>
    <definedName function="false" hidden="false" name="BBK1" vbProcedure="false">[1]JuneYTD!$BG$80</definedName>
    <definedName function="false" hidden="false" name="BBTITLE" vbProcedure="false">[1]JuneYTD!$BG$80</definedName>
    <definedName function="false" hidden="false" name="BLANK" vbProcedure="false">[1]JuneYTD!$BG$80</definedName>
    <definedName function="false" hidden="false" name="BLANK1" vbProcedure="false">[1]JuneYTD!$BG$80</definedName>
    <definedName function="false" hidden="false" name="BORDERC" vbProcedure="false">[1]JuneYTD!$BG$80</definedName>
    <definedName function="false" hidden="false" name="BORDERC1" vbProcedure="false">[1]JuneYTD!$BG$80</definedName>
    <definedName function="false" hidden="false" name="BORDERCAAWP" vbProcedure="false">[1]JuneYTD!$BG$80</definedName>
    <definedName function="false" hidden="false" name="BORDERNONCUR" vbProcedure="false">[1]JuneYTD!$BG$80</definedName>
    <definedName function="false" hidden="false" name="BORDERR" vbProcedure="false">[1]JuneYTD!$BG$80</definedName>
    <definedName function="false" hidden="false" name="BORDERR1" vbProcedure="false">[1]JuneYTD!$BG$80</definedName>
    <definedName function="false" hidden="false" name="BORDERRAAWP" vbProcedure="false">[1]JuneYTD!$BG$80</definedName>
    <definedName function="false" hidden="false" name="BORDERRWWAP" vbProcedure="false">[1]JuneYTD!$BG$80</definedName>
    <definedName function="false" hidden="false" name="BSTITLE" vbProcedure="false">[1]JuneYTD!$BG$80</definedName>
    <definedName function="false" hidden="false" name="BSTITLE1" vbProcedure="false">[1]JuneYTD!$BG$80</definedName>
    <definedName function="false" hidden="false" name="BS_TitleRow" vbProcedure="false">[1]JuneYTD!$BG$80</definedName>
    <definedName function="false" hidden="false" name="CASHFLOW" vbProcedure="false">[1]JuneYTD!$BG$80</definedName>
    <definedName function="false" hidden="false" name="CASHFLOW1" vbProcedure="false">[1]JuneYTD!$BG$80</definedName>
    <definedName function="false" hidden="false" name="CATEGORY" vbProcedure="false">[1]JuneYTD!$BG$80</definedName>
    <definedName function="false" hidden="false" name="CATEGORY2" vbProcedure="false">[1]JuneYTD!$BG$80</definedName>
    <definedName function="false" hidden="false" name="CDRate" vbProcedure="false">'Unlev. Consolid'!$O$84</definedName>
    <definedName function="false" hidden="false" name="CF" vbProcedure="false">[1]JuneYTD!$BG$80</definedName>
    <definedName function="false" hidden="false" name="CFTITLE" vbProcedure="false">[1]JuneYTD!$BG$80</definedName>
    <definedName function="false" hidden="false" name="CFTITLE1" vbProcedure="false">[1]JuneYTD!$BG$80</definedName>
    <definedName function="false" hidden="false" name="CF_WKS_TitleRow" vbProcedure="false">[1]JuneYTD!$BG$80</definedName>
    <definedName function="false" hidden="false" name="CHGNONCUR" vbProcedure="false">[1]JuneYTD!$BG$80</definedName>
    <definedName function="false" hidden="false" name="CLoop" vbProcedure="false">'Unlev. Consolid'!$J$86</definedName>
    <definedName function="false" hidden="false" name="CM" vbProcedure="false">[1]JuneYTD!$BG$80</definedName>
    <definedName function="false" hidden="false" name="CNPVPrice" vbProcedure="false">'Unlev. Consolid'!$O$86</definedName>
    <definedName function="false" hidden="false" name="Company" vbProcedure="false">'[5]Print Controls'!$AD$5</definedName>
    <definedName function="false" hidden="false" name="ConsDRate" vbProcedure="false">Assumptions!$D$23</definedName>
    <definedName function="false" hidden="false" name="CPurPrice" vbProcedure="false">'Unlev. Consolid'!$K$86</definedName>
    <definedName function="false" hidden="false" name="CurrentGasPrice" vbProcedure="false">#REF!</definedName>
    <definedName function="false" hidden="false" name="DATE1" vbProcedure="false">[1]JuneYTD!$BG$80</definedName>
    <definedName function="false" hidden="false" name="DATE2" vbProcedure="false">[1]JuneYTD!$BG$80</definedName>
    <definedName function="false" hidden="false" name="DATE3" vbProcedure="false">[1]JuneYTD!$BG$80</definedName>
    <definedName function="false" hidden="false" name="DATE4" vbProcedure="false">[1]JuneYTD!$BG$80</definedName>
    <definedName function="false" hidden="false" name="DateHeader" vbProcedure="false">'[5]Print Controls'!$AE$13</definedName>
    <definedName function="false" hidden="false" name="DATEPRYR" vbProcedure="false">[1]JuneYTD!$BG$80</definedName>
    <definedName function="false" hidden="false" name="DESC" vbProcedure="false">[1]JuneYTD!$BG$80</definedName>
    <definedName function="false" hidden="false" name="dollarheader" vbProcedure="false">'[5]P&amp;L'!$B$6</definedName>
    <definedName function="false" hidden="false" name="ELoop" vbProcedure="false">[2]Enron!$J$50</definedName>
    <definedName function="false" hidden="false" name="EPurPrice" vbProcedure="false">[2]Enron!$K$50</definedName>
    <definedName function="false" hidden="false" name="FSDRate" vbProcedure="false">#REF!</definedName>
    <definedName function="false" hidden="false" name="FSLoop" vbProcedure="false">#REF!</definedName>
    <definedName function="false" hidden="false" name="FSNPVPrice" vbProcedure="false">#REF!</definedName>
    <definedName function="false" hidden="false" name="FSPurPrice" vbProcedure="false">#REF!</definedName>
    <definedName function="false" hidden="false" name="GROUP" vbProcedure="false">[1]JuneYTD!$BG$80</definedName>
    <definedName function="false" hidden="false" name="GROUPYTD" vbProcedure="false">[1]JuneYTD!$BG$80</definedName>
    <definedName function="false" hidden="false" name="GrpPrtRng" vbProcedure="false">[1]JuneYTD!$BG$80</definedName>
    <definedName function="false" hidden="false" name="GRPTITLE" vbProcedure="false">[1]JuneYTD!$BG$80</definedName>
    <definedName function="false" hidden="false" name="GRPTITLE1" vbProcedure="false">[1]JuneYTD!$BG$80</definedName>
    <definedName function="false" hidden="false" name="GRPTITLE2" vbProcedure="false">[1]JuneYTD!$BG$80</definedName>
    <definedName function="false" hidden="false" name="GrpTitleCol" vbProcedure="false">[1]JuneYTD!$BG$80</definedName>
    <definedName function="false" hidden="false" name="GWLoop" vbProcedure="false">#REF!</definedName>
    <definedName function="false" hidden="false" name="HoLoop" vbProcedure="false">[4]Hobbs!$J$73</definedName>
    <definedName function="false" hidden="false" name="LIABILITIES" vbProcedure="false">[1]JuneYTD!$BG$80</definedName>
    <definedName function="false" hidden="false" name="LlLoop" vbProcedure="false">[4]Llano!$J$73</definedName>
    <definedName function="false" hidden="false" name="LlPurPrice" vbProcedure="false">[4]Llano!$K$73</definedName>
    <definedName function="false" hidden="false" name="MinneDRate" vbProcedure="false">#REF!</definedName>
    <definedName function="false" hidden="false" name="MinneLoop" vbProcedure="false">#REF!</definedName>
    <definedName function="false" hidden="false" name="MinneNPVPrice" vbProcedure="false">#REF!</definedName>
    <definedName function="false" hidden="false" name="MinneNPVRate" vbProcedure="false">#REF!</definedName>
    <definedName function="false" hidden="false" name="MinPurPrice" vbProcedure="false">#REF!</definedName>
    <definedName function="false" hidden="false" name="NAME1" vbProcedure="false">[1]JuneYTD!$BG$80</definedName>
    <definedName function="false" hidden="false" name="OLoop" vbProcedure="false">[2]Orphans!$J$48</definedName>
    <definedName function="false" hidden="false" name="OPurPrice" vbProcedure="false">[2]Orphans!$K$48</definedName>
    <definedName function="false" hidden="false" name="OTHERBORDER" vbProcedure="false">[1]JuneYTD!$BG$80</definedName>
    <definedName function="false" hidden="false" name="OTHERNC" vbProcedure="false">[1]JuneYTD!$BG$80</definedName>
    <definedName function="false" hidden="false" name="OTHERTITLES" vbProcedure="false">[1]JuneYTD!$BG$80</definedName>
    <definedName function="false" hidden="false" name="OtLoop" vbProcedure="false">[4]Other!$J$73</definedName>
    <definedName function="false" hidden="false" name="OtPurPrice" vbProcedure="false">[4]Other!$K$73</definedName>
    <definedName function="false" hidden="false" name="Print_Area_MI" vbProcedure="false">[1]JuneYTD!$BG$80</definedName>
    <definedName function="false" hidden="false" name="Print_Titles_MI" vbProcedure="false">[1]JuneYTD!$BG$80,[1]JuneYTD!B$28417</definedName>
    <definedName function="false" hidden="false" name="PRIORBB" vbProcedure="false">[1]JuneYTD!$BG$80</definedName>
    <definedName function="false" hidden="false" name="PRT_RNG_AA" vbProcedure="false">[1]JuneYTD!$BG$80</definedName>
    <definedName function="false" hidden="false" name="PTDRate" vbProcedure="false">'[3]Power Tex'!$O$71</definedName>
    <definedName function="false" hidden="false" name="PTLoop" vbProcedure="false">'[3]Power Tex'!$J$73</definedName>
    <definedName function="false" hidden="false" name="PTPurPrice" vbProcedure="false">'[3]Power Tex'!$K$73</definedName>
    <definedName function="false" hidden="false" name="REPORT" vbProcedure="false">[1]JuneYTD!$BG$80</definedName>
    <definedName function="false" hidden="false" name="RTLoop" vbProcedure="false">'[4]Reg Trans (311)'!$J$73</definedName>
    <definedName function="false" hidden="false" name="RTPurPrice" vbProcedure="false">'[4]Reg Trans (311)'!$K$73</definedName>
    <definedName function="false" hidden="false" name="SRLoop" vbProcedure="false">'[4]Sale Ranch'!$J$73</definedName>
    <definedName function="false" hidden="false" name="SRPurPrice" vbProcedure="false">'[4]Sale Ranch'!$K$73</definedName>
    <definedName function="false" hidden="false" name="StLoop" vbProcedure="false">[4]Storage!$J$73</definedName>
    <definedName function="false" hidden="false" name="StPurPrice" vbProcedure="false">[4]Storage!$K$73</definedName>
    <definedName function="false" hidden="false" name="TaxRate" vbProcedure="false">[2]CONSOLIDATED!$B$30</definedName>
    <definedName function="false" hidden="false" name="Titles_Rptg_Grp_Wks" vbProcedure="false">[1]JuneYTD!$BG$80</definedName>
    <definedName function="false" hidden="false" name="UCMLPEquity" vbProcedure="false">#REF!</definedName>
    <definedName function="false" hidden="false" name="UCMLPLoop" vbProcedure="false">#REF!</definedName>
    <definedName function="false" hidden="false" name="UCMLPNPV" vbProcedure="false">#REF!</definedName>
    <definedName function="false" hidden="false" name="YTDBB" vbProcedure="false">[1]JuneYTD!$BG$80</definedName>
    <definedName function="false" hidden="false" localSheetId="12" name="Asset3Drate" vbProcedure="false">#REF!</definedName>
    <definedName function="false" hidden="false" localSheetId="12" name="Asset3Loop" vbProcedure="false">#REF!</definedName>
    <definedName function="false" hidden="false" localSheetId="12" name="Asset3NPVPrice" vbProcedure="false">#REF!</definedName>
    <definedName function="false" hidden="false" localSheetId="12" name="Asset3PurPrice" vbProcedure="false">#REF!</definedName>
    <definedName function="false" hidden="false" localSheetId="16" name="Asset3Drate" vbProcedure="false">'Consumers DCF'!$L$41</definedName>
    <definedName function="false" hidden="false" localSheetId="16" name="Asset3Loop" vbProcedure="false">'Consumers DCF'!$F$43</definedName>
    <definedName function="false" hidden="false" localSheetId="16" name="Asset3NPVPrice" vbProcedure="false">'Consumers DCF'!$L$43</definedName>
    <definedName function="false" hidden="false" localSheetId="16" name="Asset3PurPrice" vbProcedure="false">'Consumers DCF'!$G$43</definedName>
    <definedName function="false" hidden="false" localSheetId="17" name="Asset3Drate" vbProcedure="false">'Corp DCF'!$L$41</definedName>
    <definedName function="false" hidden="false" localSheetId="17" name="Asset3Loop" vbProcedure="false">'Corp DCF'!$F$43</definedName>
    <definedName function="false" hidden="false" localSheetId="17" name="Asset3NPVPrice" vbProcedure="false">'Corp DCF'!$L$43</definedName>
    <definedName function="false" hidden="false" localSheetId="17" name="Asset3PurPrice" vbProcedure="false">'Corp DCF'!$G$43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7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14</xdr:row>
                <xdr:rowOff>1</xdr:rowOff>
              </xdr:from>
              <xdr:to>
                <xdr:col>3</xdr:col>
                <xdr:colOff>39</xdr:colOff>
                <xdr:row>18</xdr:row>
                <xdr:rowOff>5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GC:
Annualized 2Q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6</xdr:row>
                <xdr:rowOff>4</xdr:rowOff>
              </xdr:from>
              <xdr:to>
                <xdr:col>9</xdr:col>
                <xdr:colOff>71</xdr:colOff>
                <xdr:row>10</xdr:row>
                <xdr:rowOff>9</xdr:rowOff>
              </xdr:to>
            </anchor>
          </commentPr>
        </mc:Choice>
        <mc:Fallback/>
      </mc:AlternateContent>
    </comment>
    <comment ref="H42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39</xdr:row>
                <xdr:rowOff>14</xdr:rowOff>
              </xdr:from>
              <xdr:to>
                <xdr:col>9</xdr:col>
                <xdr:colOff>42</xdr:colOff>
                <xdr:row>42</xdr:row>
                <xdr:rowOff>16</xdr:rowOff>
              </xdr:to>
            </anchor>
          </commentPr>
        </mc:Choice>
        <mc:Fallback/>
      </mc:AlternateContent>
    </comment>
    <comment ref="H45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44</xdr:row>
                <xdr:rowOff>1</xdr:rowOff>
              </xdr:from>
              <xdr:to>
                <xdr:col>10</xdr:col>
                <xdr:colOff>3</xdr:colOff>
                <xdr:row>55</xdr:row>
                <xdr:rowOff>12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21</xdr:colOff>
                <xdr:row>44</xdr:row>
                <xdr:rowOff>1</xdr:rowOff>
              </xdr:from>
              <xdr:to>
                <xdr:col>14</xdr:col>
                <xdr:colOff>21</xdr:colOff>
                <xdr:row>47</xdr:row>
                <xdr:rowOff>12</xdr:rowOff>
              </xdr:to>
            </anchor>
          </commentPr>
        </mc:Choice>
        <mc:Fallback/>
      </mc:AlternateContent>
    </comment>
    <comment ref="R39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96</xdr:colOff>
                <xdr:row>36</xdr:row>
                <xdr:rowOff>7</xdr:rowOff>
              </xdr:from>
              <xdr:to>
                <xdr:col>18</xdr:col>
                <xdr:colOff>46</xdr:colOff>
                <xdr:row>42</xdr:row>
                <xdr:rowOff>8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3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159</xdr:colOff>
                <xdr:row>30</xdr:row>
                <xdr:rowOff>1</xdr:rowOff>
              </xdr:from>
              <xdr:to>
                <xdr:col>1</xdr:col>
                <xdr:colOff>15</xdr:colOff>
                <xdr:row>34</xdr:row>
                <xdr:rowOff>4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GC:
Annualized 2Q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54</xdr:colOff>
                <xdr:row>6</xdr:row>
                <xdr:rowOff>4</xdr:rowOff>
              </xdr:from>
              <xdr:to>
                <xdr:col>7</xdr:col>
                <xdr:colOff>78</xdr:colOff>
                <xdr:row>10</xdr:row>
                <xdr:rowOff>9</xdr:rowOff>
              </xdr:to>
            </anchor>
          </commentPr>
        </mc:Choice>
        <mc:Fallback/>
      </mc:AlternateContent>
    </comment>
  </commentList>
</comments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GC:
2nd Quarter Info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68</xdr:colOff>
                <xdr:row>6</xdr:row>
                <xdr:rowOff>7</xdr:rowOff>
              </xdr:from>
              <xdr:to>
                <xdr:col>5</xdr:col>
                <xdr:colOff>100</xdr:colOff>
                <xdr:row>10</xdr:row>
                <xdr:rowOff>12</xdr:rowOff>
              </xdr:to>
            </anchor>
          </commentPr>
        </mc:Choice>
        <mc:Fallback/>
      </mc:AlternateContent>
    </comment>
    <comment ref="G81" authorId="0">
      <text>
        <r>
          <rPr>
            <b val="true"/>
            <sz val="8"/>
            <color rgb="FF000000"/>
            <rFont val="Tahoma"/>
            <family val="0"/>
          </rPr>
          <t xml:space="preserve">GC:
2nd Quarter Info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64</xdr:colOff>
                <xdr:row>71</xdr:row>
                <xdr:rowOff>13</xdr:rowOff>
              </xdr:from>
              <xdr:to>
                <xdr:col>7</xdr:col>
                <xdr:colOff>92</xdr:colOff>
                <xdr:row>75</xdr:row>
                <xdr:rowOff>16</xdr:rowOff>
              </xdr:to>
            </anchor>
          </commentPr>
        </mc:Choice>
        <mc:Fallback/>
      </mc:AlternateContent>
    </comment>
    <comment ref="G94" authorId="0">
      <text>
        <r>
          <rPr>
            <b val="true"/>
            <sz val="8"/>
            <color rgb="FF000000"/>
            <rFont val="Tahoma"/>
            <family val="0"/>
          </rPr>
          <t xml:space="preserve">GC:
2nd Quarter Info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70</xdr:colOff>
                <xdr:row>98</xdr:row>
                <xdr:rowOff>7</xdr:rowOff>
              </xdr:from>
              <xdr:to>
                <xdr:col>8</xdr:col>
                <xdr:colOff>4</xdr:colOff>
                <xdr:row>102</xdr:row>
                <xdr:rowOff>10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GC:
2nd Quarter Info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29</xdr:colOff>
                <xdr:row>6</xdr:row>
                <xdr:rowOff>7</xdr:rowOff>
              </xdr:from>
              <xdr:to>
                <xdr:col>5</xdr:col>
                <xdr:colOff>54</xdr:colOff>
                <xdr:row>10</xdr:row>
                <xdr:rowOff>16</xdr:rowOff>
              </xdr:to>
            </anchor>
          </commentPr>
        </mc:Choice>
        <mc:Fallback/>
      </mc:AlternateContent>
    </comment>
  </commentList>
</comments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12</xdr:row>
                <xdr:rowOff>1</xdr:rowOff>
              </xdr:from>
              <xdr:to>
                <xdr:col>1</xdr:col>
                <xdr:colOff>86</xdr:colOff>
                <xdr:row>16</xdr:row>
                <xdr:rowOff>8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20</xdr:row>
                <xdr:rowOff>1</xdr:rowOff>
              </xdr:from>
              <xdr:to>
                <xdr:col>1</xdr:col>
                <xdr:colOff>55</xdr:colOff>
                <xdr:row>25</xdr:row>
                <xdr:rowOff>6</xdr:rowOff>
              </xdr:to>
            </anchor>
          </commentPr>
        </mc:Choice>
        <mc:Fallback/>
      </mc:AlternateContent>
    </commen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29</xdr:row>
                <xdr:rowOff>5</xdr:rowOff>
              </xdr:from>
              <xdr:to>
                <xdr:col>1</xdr:col>
                <xdr:colOff>55</xdr:colOff>
                <xdr:row>33</xdr:row>
                <xdr:rowOff>12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232</xdr:colOff>
                <xdr:row>33</xdr:row>
                <xdr:rowOff>4</xdr:rowOff>
              </xdr:from>
              <xdr:to>
                <xdr:col>2</xdr:col>
                <xdr:colOff>12</xdr:colOff>
                <xdr:row>38</xdr:row>
                <xdr:rowOff>2</xdr:rowOff>
              </xdr:to>
            </anchor>
          </commentPr>
        </mc:Choice>
        <mc:Fallback/>
      </mc:AlternateContent>
    </comment>
    <comment ref="A56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Based on 68.7% Ownership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54</xdr:row>
                <xdr:rowOff>5</xdr:rowOff>
              </xdr:from>
              <xdr:to>
                <xdr:col>2</xdr:col>
                <xdr:colOff>34</xdr:colOff>
                <xdr:row>58</xdr:row>
                <xdr:rowOff>9</xdr:rowOff>
              </xdr:to>
            </anchor>
          </commentPr>
        </mc:Choice>
        <mc:Fallback/>
      </mc:AlternateContent>
    </comment>
    <comment ref="A57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Assumes 100% Ownership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55</xdr:row>
                <xdr:rowOff>5</xdr:rowOff>
              </xdr:from>
              <xdr:to>
                <xdr:col>2</xdr:col>
                <xdr:colOff>34</xdr:colOff>
                <xdr:row>60</xdr:row>
                <xdr:rowOff>2</xdr:rowOff>
              </xdr:to>
            </anchor>
          </commentPr>
        </mc:Choice>
        <mc:Fallback/>
      </mc:AlternateContent>
    </comment>
    <comment ref="A67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Based on 68.7% Ownership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232</xdr:colOff>
                <xdr:row>63</xdr:row>
                <xdr:rowOff>13</xdr:rowOff>
              </xdr:from>
              <xdr:to>
                <xdr:col>2</xdr:col>
                <xdr:colOff>10</xdr:colOff>
                <xdr:row>68</xdr:row>
                <xdr:rowOff>2</xdr:rowOff>
              </xdr:to>
            </anchor>
          </commentPr>
        </mc:Choice>
        <mc:Fallback/>
      </mc:AlternateContent>
    </comment>
    <comment ref="A68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Assumes 100% Ownership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232</xdr:colOff>
                <xdr:row>64</xdr:row>
                <xdr:rowOff>13</xdr:rowOff>
              </xdr:from>
              <xdr:to>
                <xdr:col>2</xdr:col>
                <xdr:colOff>10</xdr:colOff>
                <xdr:row>69</xdr:row>
                <xdr:rowOff>14</xdr:rowOff>
              </xdr:to>
            </anchor>
          </commentPr>
        </mc:Choice>
        <mc:Fallback/>
      </mc:AlternateContent>
    </comment>
    <comment ref="C125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114</xdr:row>
                <xdr:rowOff>6</xdr:rowOff>
              </xdr:from>
              <xdr:to>
                <xdr:col>3</xdr:col>
                <xdr:colOff>106</xdr:colOff>
                <xdr:row>121</xdr:row>
                <xdr:rowOff>5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GC:
Annualized 2Q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116</xdr:colOff>
                <xdr:row>6</xdr:row>
                <xdr:rowOff>4</xdr:rowOff>
              </xdr:from>
              <xdr:to>
                <xdr:col>8</xdr:col>
                <xdr:colOff>15</xdr:colOff>
                <xdr:row>10</xdr:row>
                <xdr:rowOff>9</xdr:rowOff>
              </xdr:to>
            </anchor>
          </commentPr>
        </mc:Choice>
        <mc:Fallback/>
      </mc:AlternateContent>
    </comment>
    <comment ref="H40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39</xdr:colOff>
                <xdr:row>37</xdr:row>
                <xdr:rowOff>2</xdr:rowOff>
              </xdr:from>
              <xdr:to>
                <xdr:col>7</xdr:col>
                <xdr:colOff>98</xdr:colOff>
                <xdr:row>39</xdr:row>
                <xdr:rowOff>6</xdr:rowOff>
              </xdr:to>
            </anchor>
          </commentPr>
        </mc:Choice>
        <mc:Fallback/>
      </mc:AlternateContent>
    </comment>
    <comment ref="H43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39</xdr:colOff>
                <xdr:row>40</xdr:row>
                <xdr:rowOff>2</xdr:rowOff>
              </xdr:from>
              <xdr:to>
                <xdr:col>8</xdr:col>
                <xdr:colOff>55</xdr:colOff>
                <xdr:row>49</xdr:row>
                <xdr:rowOff>3</xdr:rowOff>
              </xdr:to>
            </anchor>
          </commentPr>
        </mc:Choice>
        <mc:Fallback/>
      </mc:AlternateContent>
    </comment>
    <comment ref="L41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70</xdr:colOff>
                <xdr:row>39</xdr:row>
                <xdr:rowOff>10</xdr:rowOff>
              </xdr:from>
              <xdr:to>
                <xdr:col>12</xdr:col>
                <xdr:colOff>71</xdr:colOff>
                <xdr:row>42</xdr:row>
                <xdr:rowOff>6</xdr:rowOff>
              </xdr:to>
            </anchor>
          </commentPr>
        </mc:Choice>
        <mc:Fallback/>
      </mc:AlternateContent>
    </comment>
    <comment ref="R35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53</xdr:colOff>
                <xdr:row>32</xdr:row>
                <xdr:rowOff>8</xdr:rowOff>
              </xdr:from>
              <xdr:to>
                <xdr:col>17</xdr:col>
                <xdr:colOff>21</xdr:colOff>
                <xdr:row>37</xdr:row>
                <xdr:rowOff>6</xdr:rowOff>
              </xdr:to>
            </anchor>
          </commentPr>
        </mc:Choice>
        <mc:Fallback/>
      </mc:AlternateContent>
    </comment>
  </commentList>
</comments>
</file>

<file path=xl/comments1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5" authorId="0">
      <text>
        <r>
          <rPr>
            <b val="true"/>
            <sz val="8"/>
            <color rgb="FF000000"/>
            <rFont val="Tahoma"/>
            <family val="0"/>
          </rPr>
          <t xml:space="preserve">MLR: (Rev-Exp) Earnings before interest, tax, depreciation, and amortization.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12</xdr:row>
                <xdr:rowOff>4</xdr:rowOff>
              </xdr:from>
              <xdr:to>
                <xdr:col>1</xdr:col>
                <xdr:colOff>86</xdr:colOff>
                <xdr:row>16</xdr:row>
                <xdr:rowOff>11</xdr:rowOff>
              </xdr:to>
            </anchor>
          </commentPr>
        </mc:Choice>
        <mc:Fallback/>
      </mc:AlternateContent>
    </comment>
    <comment ref="A23" authorId="0">
      <text>
        <r>
          <rPr>
            <b val="true"/>
            <sz val="8"/>
            <color rgb="FF000000"/>
            <rFont val="Tahoma"/>
            <family val="0"/>
          </rPr>
          <t xml:space="preserve">MLR: (EBITDA-DD&amp;A) Earnings before interest and taxes.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20</xdr:row>
                <xdr:rowOff>4</xdr:rowOff>
              </xdr:from>
              <xdr:to>
                <xdr:col>1</xdr:col>
                <xdr:colOff>55</xdr:colOff>
                <xdr:row>25</xdr:row>
                <xdr:rowOff>9</xdr:rowOff>
              </xdr:to>
            </anchor>
          </commentPr>
        </mc:Choice>
        <mc:Fallback/>
      </mc:AlternateContent>
    </commen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MLR: Net Income + Deferred Taxes + DD&amp;A.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160</xdr:colOff>
                <xdr:row>29</xdr:row>
                <xdr:rowOff>8</xdr:rowOff>
              </xdr:from>
              <xdr:to>
                <xdr:col>1</xdr:col>
                <xdr:colOff>55</xdr:colOff>
                <xdr:row>33</xdr:row>
                <xdr:rowOff>15</xdr:rowOff>
              </xdr:to>
            </anchor>
          </commentPr>
        </mc:Choice>
        <mc:Fallback/>
      </mc:AlternateContent>
    </comment>
    <comment ref="A35" authorId="0">
      <text>
        <r>
          <rPr>
            <b val="true"/>
            <sz val="8"/>
            <color rgb="FF000000"/>
            <rFont val="Tahoma"/>
            <family val="0"/>
          </rPr>
          <t xml:space="preserve">MLR: NPV based on this cash stream.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232</xdr:colOff>
                <xdr:row>33</xdr:row>
                <xdr:rowOff>7</xdr:rowOff>
              </xdr:from>
              <xdr:to>
                <xdr:col>2</xdr:col>
                <xdr:colOff>12</xdr:colOff>
                <xdr:row>38</xdr:row>
                <xdr:rowOff>5</xdr:rowOff>
              </xdr:to>
            </anchor>
          </commentPr>
        </mc:Choice>
        <mc:Fallback/>
      </mc:AlternateContent>
    </comment>
    <comment ref="A56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Based on 68.7% Ownership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54</xdr:row>
                <xdr:rowOff>8</xdr:rowOff>
              </xdr:from>
              <xdr:to>
                <xdr:col>2</xdr:col>
                <xdr:colOff>34</xdr:colOff>
                <xdr:row>58</xdr:row>
                <xdr:rowOff>12</xdr:rowOff>
              </xdr:to>
            </anchor>
          </commentPr>
        </mc:Choice>
        <mc:Fallback/>
      </mc:AlternateContent>
    </comment>
    <comment ref="A57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Assumes 100% Ownership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55</xdr:row>
                <xdr:rowOff>8</xdr:rowOff>
              </xdr:from>
              <xdr:to>
                <xdr:col>2</xdr:col>
                <xdr:colOff>34</xdr:colOff>
                <xdr:row>60</xdr:row>
                <xdr:rowOff>5</xdr:rowOff>
              </xdr:to>
            </anchor>
          </commentPr>
        </mc:Choice>
        <mc:Fallback/>
      </mc:AlternateContent>
    </comment>
    <comment ref="A67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Based on 68.7% Ownership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232</xdr:colOff>
                <xdr:row>63</xdr:row>
                <xdr:rowOff>16</xdr:rowOff>
              </xdr:from>
              <xdr:to>
                <xdr:col>2</xdr:col>
                <xdr:colOff>10</xdr:colOff>
                <xdr:row>68</xdr:row>
                <xdr:rowOff>5</xdr:rowOff>
              </xdr:to>
            </anchor>
          </commentPr>
        </mc:Choice>
        <mc:Fallback/>
      </mc:AlternateContent>
    </comment>
    <comment ref="A68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Assumes 100% Ownership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232</xdr:colOff>
                <xdr:row>64</xdr:row>
                <xdr:rowOff>16</xdr:rowOff>
              </xdr:from>
              <xdr:to>
                <xdr:col>2</xdr:col>
                <xdr:colOff>10</xdr:colOff>
                <xdr:row>69</xdr:row>
                <xdr:rowOff>17</xdr:rowOff>
              </xdr:to>
            </anchor>
          </commentPr>
        </mc:Choice>
        <mc:Fallback/>
      </mc:AlternateContent>
    </comment>
    <comment ref="C125" authorId="0">
      <text>
        <r>
          <rPr>
            <b val="true"/>
            <sz val="8"/>
            <color rgb="FF000000"/>
            <rFont val="Tahoma"/>
            <family val="0"/>
          </rPr>
          <t xml:space="preserve">MLR: This comes from the Balance Sheet, Pro Forma Property, Equipment &amp; Improvements Net.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114</xdr:row>
                <xdr:rowOff>9</xdr:rowOff>
              </xdr:from>
              <xdr:to>
                <xdr:col>3</xdr:col>
                <xdr:colOff>106</xdr:colOff>
                <xdr:row>121</xdr:row>
                <xdr:rowOff>8</xdr:rowOff>
              </xdr:to>
            </anchor>
          </commentPr>
        </mc:Choice>
        <mc:Fallback/>
      </mc:AlternateContent>
    </comment>
    <comment ref="G8" authorId="0">
      <text>
        <r>
          <rPr>
            <b val="true"/>
            <sz val="8"/>
            <color rgb="FF000000"/>
            <rFont val="Tahoma"/>
            <family val="0"/>
          </rPr>
          <t xml:space="preserve">GC:
Annualized 2Q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116</xdr:colOff>
                <xdr:row>6</xdr:row>
                <xdr:rowOff>7</xdr:rowOff>
              </xdr:from>
              <xdr:to>
                <xdr:col>8</xdr:col>
                <xdr:colOff>15</xdr:colOff>
                <xdr:row>10</xdr:row>
                <xdr:rowOff>12</xdr:rowOff>
              </xdr:to>
            </anchor>
          </commentPr>
        </mc:Choice>
        <mc:Fallback/>
      </mc:AlternateContent>
    </comment>
    <comment ref="H40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39</xdr:colOff>
                <xdr:row>37</xdr:row>
                <xdr:rowOff>5</xdr:rowOff>
              </xdr:from>
              <xdr:to>
                <xdr:col>7</xdr:col>
                <xdr:colOff>98</xdr:colOff>
                <xdr:row>39</xdr:row>
                <xdr:rowOff>9</xdr:rowOff>
              </xdr:to>
            </anchor>
          </commentPr>
        </mc:Choice>
        <mc:Fallback/>
      </mc:AlternateContent>
    </comment>
    <comment ref="H43" authorId="0">
      <text>
        <r>
          <rPr>
            <b val="true"/>
            <sz val="8"/>
            <color rgb="FF000000"/>
            <rFont val="Tahoma"/>
            <family val="0"/>
          </rPr>
          <t xml:space="preserve">MLR: This figure should be compared to the EBITDA Multiple used for salvage value.  They should be close.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39</xdr:colOff>
                <xdr:row>40</xdr:row>
                <xdr:rowOff>5</xdr:rowOff>
              </xdr:from>
              <xdr:to>
                <xdr:col>8</xdr:col>
                <xdr:colOff>55</xdr:colOff>
                <xdr:row>49</xdr:row>
                <xdr:rowOff>6</xdr:rowOff>
              </xdr:to>
            </anchor>
          </commentPr>
        </mc:Choice>
        <mc:Fallback/>
      </mc:AlternateContent>
    </comment>
    <comment ref="L41" authorId="0">
      <text>
        <r>
          <rPr>
            <b val="true"/>
            <sz val="8"/>
            <color rgb="FF000000"/>
            <rFont val="Tahoma"/>
            <family val="0"/>
          </rPr>
          <t xml:space="preserve">MLR: Primary discount rate for calculation.  The NPVs for the other rates are approximations as the purchase price feeds into the Tax Depreciation calculation.  THIS FIGURE IS DEFINED IN ITS MACRO.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70</xdr:colOff>
                <xdr:row>39</xdr:row>
                <xdr:rowOff>13</xdr:rowOff>
              </xdr:from>
              <xdr:to>
                <xdr:col>12</xdr:col>
                <xdr:colOff>71</xdr:colOff>
                <xdr:row>42</xdr:row>
                <xdr:rowOff>9</xdr:rowOff>
              </xdr:to>
            </anchor>
          </commentPr>
        </mc:Choice>
        <mc:Fallback/>
      </mc:AlternateContent>
    </comment>
    <comment ref="R35" authorId="0">
      <text>
        <r>
          <rPr>
            <b val="true"/>
            <sz val="8"/>
            <color rgb="FF000000"/>
            <rFont val="Tahoma"/>
            <family val="0"/>
          </rPr>
          <t xml:space="preserve">MLR: Salvage value of the asset.  The EBITDA multiple can vary.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53</xdr:colOff>
                <xdr:row>32</xdr:row>
                <xdr:rowOff>11</xdr:rowOff>
              </xdr:from>
              <xdr:to>
                <xdr:col>17</xdr:col>
                <xdr:colOff>21</xdr:colOff>
                <xdr:row>37</xdr:row>
                <xdr:rowOff>9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5" authorId="0">
      <text>
        <r>
          <rPr>
            <b val="true"/>
            <sz val="8"/>
            <color rgb="FF000000"/>
            <rFont val="Tahoma"/>
            <family val="0"/>
          </rPr>
          <t xml:space="preserve">gchavez:
</t>
        </r>
        <r>
          <rPr>
            <sz val="8"/>
            <color rgb="FF000000"/>
            <rFont val="Tahoma"/>
            <family val="0"/>
          </rPr>
          <t xml:space="preserve">If Mortgage Style, debt will amortize 100%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</xdr:colOff>
                <xdr:row>13</xdr:row>
                <xdr:rowOff>12</xdr:rowOff>
              </xdr:from>
              <xdr:to>
                <xdr:col>10</xdr:col>
                <xdr:colOff>20</xdr:colOff>
                <xdr:row>19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3" authorId="0">
      <text>
        <r>
          <rPr>
            <sz val="8"/>
            <color rgb="FF000000"/>
            <rFont val="Tahoma"/>
            <family val="0"/>
          </rPr>
          <t xml:space="preserve">Yuan:
The Purchase Price is assumed as the depreciation basis.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50</xdr:row>
                <xdr:rowOff>9</xdr:rowOff>
              </xdr:from>
              <xdr:to>
                <xdr:col>4</xdr:col>
                <xdr:colOff>24</xdr:colOff>
                <xdr:row>54</xdr:row>
                <xdr:rowOff>1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GC:
Annualized 2Q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6</xdr:row>
                <xdr:rowOff>8</xdr:rowOff>
              </xdr:from>
              <xdr:to>
                <xdr:col>9</xdr:col>
                <xdr:colOff>59</xdr:colOff>
                <xdr:row>9</xdr:row>
                <xdr:rowOff>17</xdr:rowOff>
              </xdr:to>
            </anchor>
          </commentPr>
        </mc:Choice>
        <mc:Fallback/>
      </mc:AlternateContent>
    </comment>
    <comment ref="L83" authorId="0">
      <text>
        <r>
          <rPr>
            <b val="true"/>
            <sz val="8"/>
            <color rgb="FF000000"/>
            <rFont val="Tahoma"/>
            <family val="0"/>
          </rPr>
          <t xml:space="preserve">MLR: This is the last year of actual data.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74</xdr:colOff>
                <xdr:row>79</xdr:row>
                <xdr:rowOff>2</xdr:rowOff>
              </xdr:from>
              <xdr:to>
                <xdr:col>12</xdr:col>
                <xdr:colOff>12</xdr:colOff>
                <xdr:row>82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<sst xmlns="http://schemas.openxmlformats.org/spreadsheetml/2006/main" count="1045" uniqueCount="623">
  <si>
    <t xml:space="preserve">Date:</t>
  </si>
  <si>
    <t xml:space="preserve">Feb.08,2001</t>
  </si>
  <si>
    <t xml:space="preserve">Asset Valuation Model -  </t>
  </si>
  <si>
    <t xml:space="preserve">Developed by </t>
  </si>
  <si>
    <t xml:space="preserve">Michael Ratner</t>
  </si>
  <si>
    <t xml:space="preserve">Ext.58927</t>
  </si>
  <si>
    <t xml:space="preserve">Modified by </t>
  </si>
  <si>
    <t xml:space="preserve">Yuan Tian</t>
  </si>
  <si>
    <t xml:space="preserve">Ext.53579</t>
  </si>
  <si>
    <t xml:space="preserve">Explaination about this model</t>
  </si>
  <si>
    <t xml:space="preserve">Assumptions</t>
  </si>
  <si>
    <t xml:space="preserve">Before the valuation, please determine what will be the main variables that impact the cash flow. Based on historical data</t>
  </si>
  <si>
    <t xml:space="preserve">and specific market research, hard input the values for these variables on the "Assumptions" sheet.  These variables</t>
  </si>
  <si>
    <t xml:space="preserve">might be furthur tested in Sensitivity Analysis by using "Data"- "Table" function in Excel and Risk Analysis by using Crystal Ball.</t>
  </si>
  <si>
    <t xml:space="preserve">Format</t>
  </si>
  <si>
    <t xml:space="preserve">a.</t>
  </si>
  <si>
    <t xml:space="preserve">The assumption cells are in yellow background</t>
  </si>
  <si>
    <t xml:space="preserve">b.</t>
  </si>
  <si>
    <t xml:space="preserve">The forecast cells are in green background</t>
  </si>
  <si>
    <t xml:space="preserve">c.</t>
  </si>
  <si>
    <t xml:space="preserve">The historical data are in gray background</t>
  </si>
  <si>
    <t xml:space="preserve">Unlevered cash flow analysis</t>
  </si>
  <si>
    <t xml:space="preserve">The unlevered cash flow analysis mainly values the assets based on their business risks.  It does not consider the financial </t>
  </si>
  <si>
    <t xml:space="preserve">risks from the financial leverage.  </t>
  </si>
  <si>
    <t xml:space="preserve">If there is more than one asset, input the different asset data in the separate "Asset" sheets, and the "Unlev. Consolid" sheet will</t>
  </si>
  <si>
    <t xml:space="preserve">automatically consolidate the valuation for the whole package of the assets.</t>
  </si>
  <si>
    <t xml:space="preserve">Please pay attention to the "Warning Flag" on these separate "Asset" sheets and the "unlev. Consolid" sheet  </t>
  </si>
  <si>
    <t xml:space="preserve">so that the model gives valid and accurate forecast. </t>
  </si>
  <si>
    <t xml:space="preserve">Levered cash flow analysis</t>
  </si>
  <si>
    <t xml:space="preserve">The levered cash flow analysis considers the costs ( e.g. interest expenses) and benefits ( e.g. tax benefits) from</t>
  </si>
  <si>
    <t xml:space="preserve">financial leverage. </t>
  </si>
  <si>
    <t xml:space="preserve">In this model, it is important that the target capital structure is constant over the life of the assets. For example, if the financial</t>
  </si>
  <si>
    <t xml:space="preserve">leverage rate is 50% of debt financing, the 50% debt financing rate must be maintained over the lift of the </t>
  </si>
  <si>
    <t xml:space="preserve">assets.  To maintain a constant capital structure, the following relationships must be satisfied in the "Lev. Consolid" sheet:</t>
  </si>
  <si>
    <t xml:space="preserve">Pre-Current Debt = Beg. Yr. Debt- Debt Retirement</t>
  </si>
  <si>
    <t xml:space="preserve">Pre-Current Equity = Beg. Yr. Equity + Adj. Net Income - Net Cash Flow</t>
  </si>
  <si>
    <t xml:space="preserve">Pre - Total Capital = Pre-Current Debt + Pre- Current Equity</t>
  </si>
  <si>
    <t xml:space="preserve">End. Yr Debt = Leverage rate* Pre-Total Capital</t>
  </si>
  <si>
    <t xml:space="preserve">End. Yr Equity= (1-Leverage rate) * Pre-Total Capital</t>
  </si>
  <si>
    <t xml:space="preserve">Debt Retirement = End.Yr.Debt- Beg. Yr Debt</t>
  </si>
  <si>
    <t xml:space="preserve">Net Cash Flow = Beg. Yr. Equity -End. Yr.Equity +Adj. Net Income</t>
  </si>
  <si>
    <t xml:space="preserve">(please see the above terms in the "Lev.Consolid"sheet)</t>
  </si>
  <si>
    <t xml:space="preserve">As shown on the above formula, there exits circular relationships between these data. Therefore, a circular reference is intentionally</t>
  </si>
  <si>
    <t xml:space="preserve">created in this model.  When opening the Excel, please go to "Tools"-"Options", Click on "Calculation"tab and check "Iteration" box.</t>
  </si>
  <si>
    <t xml:space="preserve">Primary Pipeline Asset</t>
  </si>
  <si>
    <t xml:space="preserve">Secondary Asset</t>
  </si>
  <si>
    <t xml:space="preserve">Panhandle Eastern</t>
  </si>
  <si>
    <t xml:space="preserve">Consumers Energy</t>
  </si>
  <si>
    <t xml:space="preserve">Corp Energy</t>
  </si>
  <si>
    <t xml:space="preserve">Asset Divisions</t>
  </si>
  <si>
    <t xml:space="preserve">Warning Flag:</t>
  </si>
  <si>
    <t xml:space="preserve">Summary</t>
  </si>
  <si>
    <t xml:space="preserve">Unlevered Cash Flow Analysis</t>
  </si>
  <si>
    <t xml:space="preserve">Discounted@</t>
  </si>
  <si>
    <t xml:space="preserve">NPV</t>
  </si>
  <si>
    <t xml:space="preserve">IRR</t>
  </si>
  <si>
    <t xml:space="preserve">Levered Cash Flow Analyais</t>
  </si>
  <si>
    <t xml:space="preserve">Debt Financing @</t>
  </si>
  <si>
    <t xml:space="preserve">Equity NPV</t>
  </si>
  <si>
    <t xml:space="preserve">Levered IRR</t>
  </si>
  <si>
    <t xml:space="preserve">Project Assumptions and Valuation Summary</t>
  </si>
  <si>
    <t xml:space="preserve">MODEL ASSUMPTIONS</t>
  </si>
  <si>
    <t xml:space="preserve">Warning Flags:</t>
  </si>
  <si>
    <t xml:space="preserve">PROJECT LOGISTICS</t>
  </si>
  <si>
    <t xml:space="preserve">Name of project:</t>
  </si>
  <si>
    <t xml:space="preserve">Wolverine</t>
  </si>
  <si>
    <t xml:space="preserve">Enron Owner</t>
  </si>
  <si>
    <t xml:space="preserve">ETS</t>
  </si>
  <si>
    <t xml:space="preserve">  Enron Financial Partner</t>
  </si>
  <si>
    <t xml:space="preserve">None</t>
  </si>
  <si>
    <t xml:space="preserve">TARGET SUMMARY</t>
  </si>
  <si>
    <t xml:space="preserve">  Enron % Equity Ownership</t>
  </si>
  <si>
    <t xml:space="preserve">  Financial Partner Return</t>
  </si>
  <si>
    <t xml:space="preserve">MARKET CAPITALIZATION</t>
  </si>
  <si>
    <t xml:space="preserve">RATE BASE</t>
  </si>
  <si>
    <t xml:space="preserve">Partner(s):</t>
  </si>
  <si>
    <t xml:space="preserve">Target Outstanding Shares</t>
  </si>
  <si>
    <t xml:space="preserve">From 10K</t>
  </si>
  <si>
    <t xml:space="preserve">Partner % Ownership</t>
  </si>
  <si>
    <t xml:space="preserve">Target Share Price</t>
  </si>
  <si>
    <t xml:space="preserve">Plant In-Service</t>
  </si>
  <si>
    <t xml:space="preserve">Year of Acquisition</t>
  </si>
  <si>
    <t xml:space="preserve">Market Capitalization</t>
  </si>
  <si>
    <t xml:space="preserve">Accum. Dep.</t>
  </si>
  <si>
    <t xml:space="preserve">Length of Contract (yrs.)</t>
  </si>
  <si>
    <t xml:space="preserve">Def. Taxes</t>
  </si>
  <si>
    <t xml:space="preserve">Enron Shares Outstanding</t>
  </si>
  <si>
    <t xml:space="preserve">VALUATION SUMMARY</t>
  </si>
  <si>
    <t xml:space="preserve">Total</t>
  </si>
  <si>
    <t xml:space="preserve">Enron Share Price</t>
  </si>
  <si>
    <t xml:space="preserve">2000 Net Income</t>
  </si>
  <si>
    <t xml:space="preserve">Return</t>
  </si>
  <si>
    <t xml:space="preserve">Figures</t>
  </si>
  <si>
    <t xml:space="preserve">US$ '000s</t>
  </si>
  <si>
    <t xml:space="preserve">Multiple</t>
  </si>
  <si>
    <t xml:space="preserve">Net Income Proxy</t>
  </si>
  <si>
    <t xml:space="preserve">Implied Valuation</t>
  </si>
  <si>
    <t xml:space="preserve">ECONOMIC ASSUMPTIONS</t>
  </si>
  <si>
    <t xml:space="preserve">2000 EBITDA</t>
  </si>
  <si>
    <t xml:space="preserve">Corporate Income Tax</t>
  </si>
  <si>
    <t xml:space="preserve">Book Depreciation (Years)</t>
  </si>
  <si>
    <t xml:space="preserve">Consolidated NPV Core Rate</t>
  </si>
  <si>
    <t xml:space="preserve">DCF Valuation</t>
  </si>
  <si>
    <t xml:space="preserve">Project Premium</t>
  </si>
  <si>
    <t xml:space="preserve">Dividend Tax Rate</t>
  </si>
  <si>
    <t xml:space="preserve">Structured Dividend Tax Rate</t>
  </si>
  <si>
    <t xml:space="preserve">Additional Debt After Tax @</t>
  </si>
  <si>
    <t xml:space="preserve">Cost of 3rd Party Equity</t>
  </si>
  <si>
    <t xml:space="preserve">DEBT</t>
  </si>
  <si>
    <t xml:space="preserve">Financial Leverage Rate</t>
  </si>
  <si>
    <t xml:space="preserve">Interest Rate</t>
  </si>
  <si>
    <t xml:space="preserve">Retirement (Years)</t>
  </si>
  <si>
    <t xml:space="preserve">ASSET ASSUMPTIONS</t>
  </si>
  <si>
    <t xml:space="preserve">Include in Valuation (1=Yes, 0=No)</t>
  </si>
  <si>
    <t xml:space="preserve">Potential Owner</t>
  </si>
  <si>
    <t xml:space="preserve">Salvage Multiple (x EBITDA)</t>
  </si>
  <si>
    <t xml:space="preserve">Revenue Scenario</t>
  </si>
  <si>
    <t xml:space="preserve">Expense Scenario</t>
  </si>
  <si>
    <t xml:space="preserve">NPV Core Rate</t>
  </si>
  <si>
    <t xml:space="preserve">Macros</t>
  </si>
  <si>
    <t xml:space="preserve">% Involvement</t>
  </si>
  <si>
    <t xml:space="preserve">Revenue Scenario Assumption- Scenario Discription</t>
  </si>
  <si>
    <t xml:space="preserve">Asset 1</t>
  </si>
  <si>
    <t xml:space="preserve">1. Base Case</t>
  </si>
  <si>
    <t xml:space="preserve">2. Optimistic</t>
  </si>
  <si>
    <t xml:space="preserve">10% increase</t>
  </si>
  <si>
    <t xml:space="preserve">3. Pessimistic</t>
  </si>
  <si>
    <t xml:space="preserve">10% decrease</t>
  </si>
  <si>
    <t xml:space="preserve">Expense Scenario  Assumption - Scenario Discription</t>
  </si>
  <si>
    <t xml:space="preserve">Financing Assumptions &amp; Critical Ratios</t>
  </si>
  <si>
    <t xml:space="preserve">Assets Purchased</t>
  </si>
  <si>
    <t xml:space="preserve">US $</t>
  </si>
  <si>
    <t xml:space="preserve">Sources</t>
  </si>
  <si>
    <t xml:space="preserve">US$</t>
  </si>
  <si>
    <t xml:space="preserve">Uses</t>
  </si>
  <si>
    <t xml:space="preserve">      Equity</t>
  </si>
  <si>
    <t xml:space="preserve">Acquire Equity</t>
  </si>
  <si>
    <t xml:space="preserve">      Debt</t>
  </si>
  <si>
    <t xml:space="preserve">Other Fees and Expenses </t>
  </si>
  <si>
    <t xml:space="preserve">Debt Break Down</t>
  </si>
  <si>
    <t xml:space="preserve">% of Total Capitalization </t>
  </si>
  <si>
    <t xml:space="preserve">Term</t>
  </si>
  <si>
    <t xml:space="preserve">Early Pre-Payment</t>
  </si>
  <si>
    <t xml:space="preserve">Amortization Method **</t>
  </si>
  <si>
    <t xml:space="preserve">% Amortized*</t>
  </si>
  <si>
    <t xml:space="preserve">SeniorTranche A (US$)</t>
  </si>
  <si>
    <t xml:space="preserve">Senior Tranche B (US$)</t>
  </si>
  <si>
    <t xml:space="preserve">     Junior Debt ($US)</t>
  </si>
  <si>
    <t xml:space="preserve">Revolver</t>
  </si>
  <si>
    <t xml:space="preserve">N/A</t>
  </si>
  <si>
    <t xml:space="preserve">Debt Cash Sweep</t>
  </si>
  <si>
    <t xml:space="preserve">Dividend Pay-out Ratio</t>
  </si>
  <si>
    <t xml:space="preserve">**METHOD - 1=No Amortization, 2=Partial  Amortization, 3=Mortgage</t>
  </si>
  <si>
    <t xml:space="preserve">Revolver Stats</t>
  </si>
  <si>
    <t xml:space="preserve">Relvolver limit ($MM) - 50% of WC</t>
  </si>
  <si>
    <t xml:space="preserve">Liquidity Discount</t>
  </si>
  <si>
    <t xml:space="preserve">FCF toggle</t>
  </si>
  <si>
    <t xml:space="preserve">% of TV included in the equity portion of purchase price:</t>
  </si>
  <si>
    <t xml:space="preserve">Debt Assumptions</t>
  </si>
  <si>
    <t xml:space="preserve">Valuation Multiples</t>
  </si>
  <si>
    <t xml:space="preserve">Senior Debt/EBITDA (2000)</t>
  </si>
  <si>
    <t xml:space="preserve">Firm Value per 2001 tonne</t>
  </si>
  <si>
    <t xml:space="preserve">Min. EBITDA/Interest</t>
  </si>
  <si>
    <t xml:space="preserve">Firm Value to 2000 EBITDA</t>
  </si>
  <si>
    <t xml:space="preserve">Actual EBITDA/Interest</t>
  </si>
  <si>
    <t xml:space="preserve">Firm Value to 2001 EBITDA</t>
  </si>
  <si>
    <t xml:space="preserve">Default</t>
  </si>
  <si>
    <t xml:space="preserve">Firm Value to 5-Yr Ave EBITDA (historical)</t>
  </si>
  <si>
    <t xml:space="preserve">Max. Total Debt/Total Capitalization</t>
  </si>
  <si>
    <t xml:space="preserve">Firm Value to 5-Yr Ave EBITDA (projected)</t>
  </si>
  <si>
    <t xml:space="preserve">Actual Total Debt/Total Capitalization</t>
  </si>
  <si>
    <t xml:space="preserve">2001 P/E</t>
  </si>
  <si>
    <t xml:space="preserve">Total Debt/EBITDA (2000)</t>
  </si>
  <si>
    <t xml:space="preserve">2002 P/E</t>
  </si>
  <si>
    <t xml:space="preserve">Min. (EBITDA-CapEx)/Cash Charges</t>
  </si>
  <si>
    <t xml:space="preserve">2001 (EBITDA-CapEx)/Cash Charges</t>
  </si>
  <si>
    <t xml:space="preserve"> </t>
  </si>
  <si>
    <t xml:space="preserve">Debt Schedule</t>
  </si>
  <si>
    <t xml:space="preserve">Debt Breakdown (US $000's)</t>
  </si>
  <si>
    <t xml:space="preserve">Beginning </t>
  </si>
  <si>
    <t xml:space="preserve">Amount of</t>
  </si>
  <si>
    <t xml:space="preserve">Interest</t>
  </si>
  <si>
    <t xml:space="preserve">Amort</t>
  </si>
  <si>
    <t xml:space="preserve">Balance</t>
  </si>
  <si>
    <t xml:space="preserve">Debt</t>
  </si>
  <si>
    <t xml:space="preserve">Rate</t>
  </si>
  <si>
    <t xml:space="preserve">Method</t>
  </si>
  <si>
    <t xml:space="preserve">% Amort</t>
  </si>
  <si>
    <t xml:space="preserve">Senior Tranche A (US$)</t>
  </si>
  <si>
    <t xml:space="preserve">Junior Debt (US$)</t>
  </si>
  <si>
    <t xml:space="preserve">Revolver/New Financing (US$)</t>
  </si>
  <si>
    <t xml:space="preserve">    Total Debt </t>
  </si>
  <si>
    <t xml:space="preserve">Projected Fiscal Year Ending December 31,</t>
  </si>
  <si>
    <t xml:space="preserve">Year</t>
  </si>
  <si>
    <t xml:space="preserve">Beginning Balance</t>
  </si>
  <si>
    <t xml:space="preserve">Drawdown</t>
  </si>
  <si>
    <t xml:space="preserve">Repayment</t>
  </si>
  <si>
    <t xml:space="preserve">    Ending Balance</t>
  </si>
  <si>
    <t xml:space="preserve">    Interest Expense</t>
  </si>
  <si>
    <t xml:space="preserve">Principal Repayment</t>
  </si>
  <si>
    <t xml:space="preserve">Discretionary Principal Repayment</t>
  </si>
  <si>
    <t xml:space="preserve">Discretionary Principal Repayment Schedule</t>
  </si>
  <si>
    <t xml:space="preserve">Cash Flow Available for Repayment (includes Cash on the balance sheet)</t>
  </si>
  <si>
    <t xml:space="preserve">Scheduled Borrowing (Repayment)</t>
  </si>
  <si>
    <t xml:space="preserve">     Cash Flow Available for Additional Debt Paydown</t>
  </si>
  <si>
    <t xml:space="preserve">Principle Repayment Scenarios</t>
  </si>
  <si>
    <t xml:space="preserve">Option 1</t>
  </si>
  <si>
    <t xml:space="preserve">No Amortization</t>
  </si>
  <si>
    <t xml:space="preserve">Option 2</t>
  </si>
  <si>
    <t xml:space="preserve">Partial Amortization</t>
  </si>
  <si>
    <t xml:space="preserve">Year </t>
  </si>
  <si>
    <t xml:space="preserve">Beg Balance</t>
  </si>
  <si>
    <t xml:space="preserve">Prin Reduction</t>
  </si>
  <si>
    <t xml:space="preserve">End Balance</t>
  </si>
  <si>
    <t xml:space="preserve">Option 3</t>
  </si>
  <si>
    <t xml:space="preserve">Mortgage Style</t>
  </si>
  <si>
    <t xml:space="preserve">Payment</t>
  </si>
  <si>
    <t xml:space="preserve">Interest Payment</t>
  </si>
  <si>
    <t xml:space="preserve">Ending Balance</t>
  </si>
  <si>
    <t xml:space="preserve">Junior Debt</t>
  </si>
  <si>
    <t xml:space="preserve">Consolidated Levered Valuation</t>
  </si>
  <si>
    <t xml:space="preserve">Valuations - Purchase Price</t>
  </si>
  <si>
    <t xml:space="preserve">Unlevered</t>
  </si>
  <si>
    <t xml:space="preserve">Premium</t>
  </si>
  <si>
    <t xml:space="preserve">Equity NPV Value</t>
  </si>
  <si>
    <t xml:space="preserve">Template Asset</t>
  </si>
  <si>
    <t xml:space="preserve">EOI Offer Price</t>
  </si>
  <si>
    <t xml:space="preserve">Debt Financed</t>
  </si>
  <si>
    <t xml:space="preserve">Equity Financed</t>
  </si>
  <si>
    <t xml:space="preserve">IRR=</t>
  </si>
  <si>
    <t xml:space="preserve">EBITDA</t>
  </si>
  <si>
    <t xml:space="preserve">   Less DD&amp;A</t>
  </si>
  <si>
    <t xml:space="preserve">   Less/Add Other Income</t>
  </si>
  <si>
    <t xml:space="preserve">EBIT</t>
  </si>
  <si>
    <t xml:space="preserve">   Less Interest Expense</t>
  </si>
  <si>
    <t xml:space="preserve">Pre-Tax Income</t>
  </si>
  <si>
    <t xml:space="preserve">   Less Tax</t>
  </si>
  <si>
    <t xml:space="preserve">NET INCOME</t>
  </si>
  <si>
    <t xml:space="preserve">NET INCOME @ (All Equity 4.657)</t>
  </si>
  <si>
    <t xml:space="preserve">Dividend Tax</t>
  </si>
  <si>
    <t xml:space="preserve">Adjusted Net Income</t>
  </si>
  <si>
    <t xml:space="preserve">Multiple X</t>
  </si>
  <si>
    <t xml:space="preserve">Cash Flow from Operations</t>
  </si>
  <si>
    <t xml:space="preserve">CAPEX</t>
  </si>
  <si>
    <t xml:space="preserve">Debt Retirement</t>
  </si>
  <si>
    <t xml:space="preserve">Net Cash Flow</t>
  </si>
  <si>
    <t xml:space="preserve">Enron Equity Cash Flow</t>
  </si>
  <si>
    <t xml:space="preserve">Financial Ratios</t>
  </si>
  <si>
    <t xml:space="preserve">EBITDA/Interest</t>
  </si>
  <si>
    <t xml:space="preserve">EBITDA/Interest + Debt Service</t>
  </si>
  <si>
    <t xml:space="preserve">Fixed Charge Coverage</t>
  </si>
  <si>
    <t xml:space="preserve">Incremental Earnings (50% Debt, 50% Equity)</t>
  </si>
  <si>
    <t xml:space="preserve">ENRON'S BASE EPS</t>
  </si>
  <si>
    <t xml:space="preserve">M Shares</t>
  </si>
  <si>
    <t xml:space="preserve">Growth of</t>
  </si>
  <si>
    <t xml:space="preserve">  Pro Forma Earnings (Inc. interest on Dividends)</t>
  </si>
  <si>
    <t xml:space="preserve">Equity Investment</t>
  </si>
  <si>
    <t xml:space="preserve">bil.</t>
  </si>
  <si>
    <t xml:space="preserve">Price of ENE Shares</t>
  </si>
  <si>
    <t xml:space="preserve">Additional Shares</t>
  </si>
  <si>
    <t xml:space="preserve">PRO FORMA EPS</t>
  </si>
  <si>
    <t xml:space="preserve">  Incremenal EPS</t>
  </si>
  <si>
    <t xml:space="preserve">Sensitivity Analysis on the Financial Leverage Rate</t>
  </si>
  <si>
    <t xml:space="preserve">Equity NPV discounted @</t>
  </si>
  <si>
    <t xml:space="preserve">Leverage</t>
  </si>
  <si>
    <t xml:space="preserve">Consolidated Unlevered Valuation</t>
  </si>
  <si>
    <t xml:space="preserve">INCOME STATEMENT ($000)</t>
  </si>
  <si>
    <t xml:space="preserve">Revenues</t>
  </si>
  <si>
    <t xml:space="preserve">1=On, 0=Off</t>
  </si>
  <si>
    <t xml:space="preserve">TOTAL REVENUE</t>
  </si>
  <si>
    <t xml:space="preserve">Expenses</t>
  </si>
  <si>
    <t xml:space="preserve">TOTAL EXPENSES</t>
  </si>
  <si>
    <t xml:space="preserve">  Rev per Exp $</t>
  </si>
  <si>
    <t xml:space="preserve">Int &amp; Other Income</t>
  </si>
  <si>
    <t xml:space="preserve">TOTAL INT &amp; OTH INCOME</t>
  </si>
  <si>
    <t xml:space="preserve">UNCONSOLIDATED INCOME</t>
  </si>
  <si>
    <t xml:space="preserve">TOTAL</t>
  </si>
  <si>
    <t xml:space="preserve">DEPRECIATION &amp; AMORTIZATION</t>
  </si>
  <si>
    <t xml:space="preserve">Current Taxes</t>
  </si>
  <si>
    <t xml:space="preserve">Deferred Taxes</t>
  </si>
  <si>
    <t xml:space="preserve">CASH FLOW FROM OPERATIONS</t>
  </si>
  <si>
    <t xml:space="preserve">TOTAL CASH FLOW</t>
  </si>
  <si>
    <t xml:space="preserve">IRR =</t>
  </si>
  <si>
    <t xml:space="preserve">Book Depreciation</t>
  </si>
  <si>
    <t xml:space="preserve">  Purchase Price</t>
  </si>
  <si>
    <t xml:space="preserve">  Capital Expenditures</t>
  </si>
  <si>
    <t xml:space="preserve">Tax Depreciation</t>
  </si>
  <si>
    <t xml:space="preserve">Incremental Earnings (All Equity)</t>
  </si>
  <si>
    <t xml:space="preserve">Purchase</t>
  </si>
  <si>
    <t xml:space="preserve">Net Present Value</t>
  </si>
  <si>
    <t xml:space="preserve">Price</t>
  </si>
  <si>
    <t xml:space="preserve">Potential Buyer</t>
  </si>
  <si>
    <t xml:space="preserve">Loop</t>
  </si>
  <si>
    <t xml:space="preserve">Equity Value</t>
  </si>
  <si>
    <t xml:space="preserve">Discounted Cash Flow Analysis</t>
  </si>
  <si>
    <t xml:space="preserve">DISCOUNTED CASH FLOW ANALYSIS ($000)</t>
  </si>
  <si>
    <t xml:space="preserve">FREE CASH FLOW CALCULATION</t>
  </si>
  <si>
    <t xml:space="preserve">TOTAL TAXES ON EBIT</t>
  </si>
  <si>
    <t xml:space="preserve">CHANGE IN DEFERRED TAXES</t>
  </si>
  <si>
    <t xml:space="preserve">DEPRECIATION</t>
  </si>
  <si>
    <t xml:space="preserve">Salvage Value</t>
  </si>
  <si>
    <t xml:space="preserve">(INCREASE) IN WORKING CAPITAL</t>
  </si>
  <si>
    <t xml:space="preserve">CAPITAL EXPENDITURES</t>
  </si>
  <si>
    <t xml:space="preserve">Multiple of</t>
  </si>
  <si>
    <t xml:space="preserve">INCREASE IN OTHER ASSETS</t>
  </si>
  <si>
    <t xml:space="preserve">FREE CASH FLOW</t>
  </si>
  <si>
    <t xml:space="preserve">Hard-Code</t>
  </si>
  <si>
    <t xml:space="preserve">Potential</t>
  </si>
  <si>
    <t xml:space="preserve">Net Present Value 2002</t>
  </si>
  <si>
    <t xml:space="preserve">EBITDA Multiple</t>
  </si>
  <si>
    <t xml:space="preserve">Buyer</t>
  </si>
  <si>
    <t xml:space="preserve">Income Statement</t>
  </si>
  <si>
    <t xml:space="preserve">OPERATING REVENUE</t>
  </si>
  <si>
    <t xml:space="preserve">TOTAL OPERATING REVENUE</t>
  </si>
  <si>
    <t xml:space="preserve">OPERATING EXPENSES</t>
  </si>
  <si>
    <t xml:space="preserve">TOTAL OPERATING EXPENSES</t>
  </si>
  <si>
    <t xml:space="preserve">OTHER INCOME</t>
  </si>
  <si>
    <t xml:space="preserve">Other Net Income </t>
  </si>
  <si>
    <t xml:space="preserve">Other Income 2</t>
  </si>
  <si>
    <t xml:space="preserve">Other Income 3</t>
  </si>
  <si>
    <t xml:space="preserve">TOTAL OTHER INCOME</t>
  </si>
  <si>
    <t xml:space="preserve">DEPRECIATION AND AMORTIZATION</t>
  </si>
  <si>
    <t xml:space="preserve">INTEREST EXPENSES</t>
  </si>
  <si>
    <t xml:space="preserve">Interest on Long Term Debt</t>
  </si>
  <si>
    <t xml:space="preserve">Other Interest</t>
  </si>
  <si>
    <t xml:space="preserve">Other Interest 3</t>
  </si>
  <si>
    <t xml:space="preserve">Other Interest 4</t>
  </si>
  <si>
    <t xml:space="preserve">TOTAL INTEREST EXPENSES</t>
  </si>
  <si>
    <t xml:space="preserve">NET INCOME BEFORE INCOME TAXES</t>
  </si>
  <si>
    <t xml:space="preserve">TAXES</t>
  </si>
  <si>
    <t xml:space="preserve">Income Taxes</t>
  </si>
  <si>
    <t xml:space="preserve">General Taxes</t>
  </si>
  <si>
    <t xml:space="preserve">Taxes 4</t>
  </si>
  <si>
    <t xml:space="preserve">TOTAL TAXES</t>
  </si>
  <si>
    <t xml:space="preserve">OPERATING STATISTICS</t>
  </si>
  <si>
    <t xml:space="preserve">GROWTH</t>
  </si>
  <si>
    <t xml:space="preserve">Revenue Growth</t>
  </si>
  <si>
    <t xml:space="preserve">EBITDA Growth</t>
  </si>
  <si>
    <t xml:space="preserve">EBIT Growth</t>
  </si>
  <si>
    <t xml:space="preserve">Net Income Growth</t>
  </si>
  <si>
    <t xml:space="preserve">MARGINS</t>
  </si>
  <si>
    <t xml:space="preserve">EBITDA Margin (%)</t>
  </si>
  <si>
    <t xml:space="preserve">EBIT Margin (%)</t>
  </si>
  <si>
    <t xml:space="preserve">Revenue per Expense</t>
  </si>
  <si>
    <t xml:space="preserve">REVENUE PROJECTIONS ($000)</t>
  </si>
  <si>
    <t xml:space="preserve">Transportation &amp; Storage of NatGas</t>
  </si>
  <si>
    <t xml:space="preserve">LNG Terminalling Revenue</t>
  </si>
  <si>
    <t xml:space="preserve">Other</t>
  </si>
  <si>
    <t xml:space="preserve">Revenue 4</t>
  </si>
  <si>
    <t xml:space="preserve">Revenue 5</t>
  </si>
  <si>
    <t xml:space="preserve">Revenue 6</t>
  </si>
  <si>
    <t xml:space="preserve">GROWTH RATES</t>
  </si>
  <si>
    <t xml:space="preserve">EXPENSE PROJECTIONS ($000)</t>
  </si>
  <si>
    <t xml:space="preserve">Operation and Maintenance</t>
  </si>
  <si>
    <t xml:space="preserve">Expense 2</t>
  </si>
  <si>
    <t xml:space="preserve">Expense 3</t>
  </si>
  <si>
    <t xml:space="preserve">Expense 4</t>
  </si>
  <si>
    <t xml:space="preserve">Expense 5</t>
  </si>
  <si>
    <t xml:space="preserve">OTHER INCOME PROJECTIONS ($000'S)</t>
  </si>
  <si>
    <t xml:space="preserve">DEPRECIATION PROJECTIONS ($000'S)</t>
  </si>
  <si>
    <t xml:space="preserve">  Depreciable Portion of Existing PP&amp;E Book Value</t>
  </si>
  <si>
    <t xml:space="preserve">  Depreciable Portion of Existing Intangible Assets</t>
  </si>
  <si>
    <t xml:space="preserve">Total Book Depreciation</t>
  </si>
  <si>
    <t xml:space="preserve">  Depreciable Portion based on Purchase Price</t>
  </si>
  <si>
    <t xml:space="preserve">  Other Depreciable Item</t>
  </si>
  <si>
    <t xml:space="preserve">Total Tax Depreciation</t>
  </si>
  <si>
    <t xml:space="preserve">TAX PROJECTIONS ($000'S)</t>
  </si>
  <si>
    <t xml:space="preserve">Current Income Taxes</t>
  </si>
  <si>
    <t xml:space="preserve">Total Taxes</t>
  </si>
  <si>
    <t xml:space="preserve">Balance Sheet</t>
  </si>
  <si>
    <t xml:space="preserve">BALANCE SHEET ($000)</t>
  </si>
  <si>
    <t xml:space="preserve"> Transaction Adjustments</t>
  </si>
  <si>
    <t xml:space="preserve">2001PF</t>
  </si>
  <si>
    <t xml:space="preserve">Additions</t>
  </si>
  <si>
    <t xml:space="preserve">Subtractions</t>
  </si>
  <si>
    <t xml:space="preserve">CURRENT ASSETS</t>
  </si>
  <si>
    <t xml:space="preserve">Cash and Equivalents</t>
  </si>
  <si>
    <t xml:space="preserve">Accounts Receivable</t>
  </si>
  <si>
    <t xml:space="preserve">Gas Imbalances - Receivable</t>
  </si>
  <si>
    <t xml:space="preserve">Inventory</t>
  </si>
  <si>
    <t xml:space="preserve">Deferred Income Taxes</t>
  </si>
  <si>
    <t xml:space="preserve">Note Receivables</t>
  </si>
  <si>
    <t xml:space="preserve">Other Current Assets</t>
  </si>
  <si>
    <t xml:space="preserve">Current Assets 8</t>
  </si>
  <si>
    <t xml:space="preserve">Current Assets 9</t>
  </si>
  <si>
    <t xml:space="preserve">Current Assets 10</t>
  </si>
  <si>
    <t xml:space="preserve">TOTAL CURRENT ASSETS </t>
  </si>
  <si>
    <t xml:space="preserve">NON-CURRENT ASSETS</t>
  </si>
  <si>
    <t xml:space="preserve">Property, Plant &amp; Equipment @ Cost</t>
  </si>
  <si>
    <t xml:space="preserve">Less Accumulated Depreciation &amp; Amortization</t>
  </si>
  <si>
    <t xml:space="preserve">Construction work-in-progress</t>
  </si>
  <si>
    <t xml:space="preserve">Net Property, Plant &amp; Equipment</t>
  </si>
  <si>
    <t xml:space="preserve">Intangible Assets</t>
  </si>
  <si>
    <t xml:space="preserve">Debt Issuance Cost</t>
  </si>
  <si>
    <t xml:space="preserve">Other Non-Current Assets</t>
  </si>
  <si>
    <t xml:space="preserve">Invesments</t>
  </si>
  <si>
    <t xml:space="preserve">Non-Current Assets 9</t>
  </si>
  <si>
    <t xml:space="preserve">Non-Current Assets 10</t>
  </si>
  <si>
    <t xml:space="preserve">TOTAL NON-CURRENT ASSETS</t>
  </si>
  <si>
    <t xml:space="preserve">TOTAL ASSETS</t>
  </si>
  <si>
    <t xml:space="preserve">CURRENT LIABILITIES</t>
  </si>
  <si>
    <t xml:space="preserve">Accounts Payable</t>
  </si>
  <si>
    <t xml:space="preserve">Gas Imbalances - Payable</t>
  </si>
  <si>
    <t xml:space="preserve">Accrued Taxes</t>
  </si>
  <si>
    <t xml:space="preserve">Accrued Interest</t>
  </si>
  <si>
    <t xml:space="preserve">Accrued Liabilities</t>
  </si>
  <si>
    <t xml:space="preserve">Other Current Liabilities</t>
  </si>
  <si>
    <t xml:space="preserve">Current Liabilities 7</t>
  </si>
  <si>
    <t xml:space="preserve">Current Liabilities 8</t>
  </si>
  <si>
    <t xml:space="preserve">Current Liabilities 9</t>
  </si>
  <si>
    <t xml:space="preserve">Current Liabilities 10</t>
  </si>
  <si>
    <t xml:space="preserve">TOTAL CURRENT LIABILITIES</t>
  </si>
  <si>
    <t xml:space="preserve">NON-CURRENT LIABILITIES</t>
  </si>
  <si>
    <t xml:space="preserve">Long-term Debt</t>
  </si>
  <si>
    <t xml:space="preserve">Non-Current Liabilities 4</t>
  </si>
  <si>
    <t xml:space="preserve">Non-Current Liabilities 5</t>
  </si>
  <si>
    <t xml:space="preserve">Non-Current Liabilities 6</t>
  </si>
  <si>
    <t xml:space="preserve">Non-Current Liabilities 7</t>
  </si>
  <si>
    <t xml:space="preserve">Non-Current Liabilities 8</t>
  </si>
  <si>
    <t xml:space="preserve">Non-Current Liabilities 9</t>
  </si>
  <si>
    <t xml:space="preserve">Non-Current Liabilities 10</t>
  </si>
  <si>
    <t xml:space="preserve">TOTAL NON-CURRENT LIABILITIES</t>
  </si>
  <si>
    <t xml:space="preserve">COMMON EQUITY</t>
  </si>
  <si>
    <t xml:space="preserve">Common Stock</t>
  </si>
  <si>
    <t xml:space="preserve">Paid-in Capital</t>
  </si>
  <si>
    <t xml:space="preserve">Retained Earnings</t>
  </si>
  <si>
    <t xml:space="preserve">Common Equity 4</t>
  </si>
  <si>
    <t xml:space="preserve">Common Equity 5</t>
  </si>
  <si>
    <t xml:space="preserve">Common Equity 6</t>
  </si>
  <si>
    <t xml:space="preserve">Common Equity 7</t>
  </si>
  <si>
    <t xml:space="preserve">Common Equity 8</t>
  </si>
  <si>
    <t xml:space="preserve">Common Equity 9</t>
  </si>
  <si>
    <t xml:space="preserve">Common Equity 10</t>
  </si>
  <si>
    <t xml:space="preserve">TOTAL COMMON EQUITY</t>
  </si>
  <si>
    <t xml:space="preserve">TOTAL LIABILITIES &amp; EQUITY</t>
  </si>
  <si>
    <t xml:space="preserve">Balance Sheet Check</t>
  </si>
  <si>
    <t xml:space="preserve">BALANCE SHEET ASSUMPTIONS</t>
  </si>
  <si>
    <t xml:space="preserve">Days Sales in A/R</t>
  </si>
  <si>
    <t xml:space="preserve">% of Trans. Revenue as Receivable Gas Imbalance</t>
  </si>
  <si>
    <t xml:space="preserve">Days in Receivable Gas Imbalance</t>
  </si>
  <si>
    <t xml:space="preserve">Days O&amp;M in Inventory</t>
  </si>
  <si>
    <t xml:space="preserve">LIABILITY ASSUMPTIONS</t>
  </si>
  <si>
    <t xml:space="preserve">Days Cogs in A/P</t>
  </si>
  <si>
    <t xml:space="preserve">% of Trans. Revenue as Payable Gas Imbalance</t>
  </si>
  <si>
    <t xml:space="preserve">Days in Payable Gas Imbalance</t>
  </si>
  <si>
    <t xml:space="preserve">PIPELINE CO DEBT</t>
  </si>
  <si>
    <t xml:space="preserve">Statement of Cash Flows</t>
  </si>
  <si>
    <t xml:space="preserve">STATEMENT OF CASH FLOW ($000)</t>
  </si>
  <si>
    <t xml:space="preserve">Cash Flow</t>
  </si>
  <si>
    <t xml:space="preserve">Adjustments</t>
  </si>
  <si>
    <t xml:space="preserve">CASH FLOWS FROM OPERATING ACTIVITIES</t>
  </si>
  <si>
    <t xml:space="preserve">Net Income</t>
  </si>
  <si>
    <t xml:space="preserve">Depreciation and Amortization</t>
  </si>
  <si>
    <t xml:space="preserve">Increase in Deferred Income Taxes</t>
  </si>
  <si>
    <t xml:space="preserve">Other, net</t>
  </si>
  <si>
    <t xml:space="preserve">Other Operating CF 5</t>
  </si>
  <si>
    <t xml:space="preserve">Other Operating CF 6</t>
  </si>
  <si>
    <t xml:space="preserve">Other Operating CF 7</t>
  </si>
  <si>
    <t xml:space="preserve">Other Operating CF 8</t>
  </si>
  <si>
    <t xml:space="preserve">Other Operating CF 9</t>
  </si>
  <si>
    <t xml:space="preserve">Other Operating CF 10</t>
  </si>
  <si>
    <t xml:space="preserve">Changes in Net Working Capital</t>
  </si>
  <si>
    <t xml:space="preserve">     (Inc.) Dec. in Acct. Rec.</t>
  </si>
  <si>
    <t xml:space="preserve">     (Inc.) Dec. in Gas Imbalances Receivable</t>
  </si>
  <si>
    <t xml:space="preserve">     (Inc.) Dec. in Inventory</t>
  </si>
  <si>
    <t xml:space="preserve">     (Inc.) Dec. in Other Current Assets</t>
  </si>
  <si>
    <t xml:space="preserve">      Inc. (Dec.) in Acct. Pay.</t>
  </si>
  <si>
    <t xml:space="preserve">      Inc. (Dec) in Gas Imbalances Payable</t>
  </si>
  <si>
    <t xml:space="preserve">      Inc. (Dec.) in Other Current Liab.</t>
  </si>
  <si>
    <t xml:space="preserve">(Inc.) Dec. in Net Working Capital</t>
  </si>
  <si>
    <t xml:space="preserve">NET CASH FROM OPERATING ACTIVITIES</t>
  </si>
  <si>
    <t xml:space="preserve">CASH FLOWS FROM INVESTING ACTIVITIES</t>
  </si>
  <si>
    <t xml:space="preserve">Acquisition of Panhandle</t>
  </si>
  <si>
    <t xml:space="preserve">Capital and Investment Expenditures</t>
  </si>
  <si>
    <t xml:space="preserve">Net Increase in Advances Receivable</t>
  </si>
  <si>
    <t xml:space="preserve">Retirements and Other</t>
  </si>
  <si>
    <t xml:space="preserve">Other Investing CF 5</t>
  </si>
  <si>
    <t xml:space="preserve">Other Investing CF 6</t>
  </si>
  <si>
    <t xml:space="preserve">Other Investing CF 7</t>
  </si>
  <si>
    <t xml:space="preserve">Other Investing CF 8</t>
  </si>
  <si>
    <t xml:space="preserve">Other Investing CF 9</t>
  </si>
  <si>
    <t xml:space="preserve">Other Investing CF 10</t>
  </si>
  <si>
    <t xml:space="preserve">NET CASH FROM INVESTING ACTIVITIES</t>
  </si>
  <si>
    <t xml:space="preserve">CASH FLOWS FROM FINANCING ACTIVITIES</t>
  </si>
  <si>
    <t xml:space="preserve">Contribution from Parent</t>
  </si>
  <si>
    <t xml:space="preserve">Proceeds (Retirement) of Senior Notes</t>
  </si>
  <si>
    <t xml:space="preserve">Net Increase in Note Receivable</t>
  </si>
  <si>
    <t xml:space="preserve">Dividends Paid</t>
  </si>
  <si>
    <t xml:space="preserve">Other Financing CF 5</t>
  </si>
  <si>
    <t xml:space="preserve">Other Financing CF 6</t>
  </si>
  <si>
    <t xml:space="preserve">Other Financing CF 7</t>
  </si>
  <si>
    <t xml:space="preserve">Other Financing CF 8</t>
  </si>
  <si>
    <t xml:space="preserve">Other Financing CF 9</t>
  </si>
  <si>
    <t xml:space="preserve">Other Financing CF 10</t>
  </si>
  <si>
    <t xml:space="preserve">NET CASH FROM FINANCING ACTIVITIES</t>
  </si>
  <si>
    <t xml:space="preserve">NET INCREASE (DECREASE) IN CASH</t>
  </si>
  <si>
    <t xml:space="preserve">CASH BEGINNING OF PERIOD</t>
  </si>
  <si>
    <t xml:space="preserve">CASH END OF PERIOD</t>
  </si>
  <si>
    <t xml:space="preserve">CAPEX AND OTHER INVESTMENT PROJECTIONS ($000'S)</t>
  </si>
  <si>
    <t xml:space="preserve">Volume Assumptions</t>
  </si>
  <si>
    <t xml:space="preserve">(Volumes in TBtu's)</t>
  </si>
  <si>
    <t xml:space="preserve">     </t>
  </si>
  <si>
    <t xml:space="preserve">Included?</t>
  </si>
  <si>
    <t xml:space="preserve">Existing Pipeline</t>
  </si>
  <si>
    <t xml:space="preserve">Affiliated Volumes</t>
  </si>
  <si>
    <t xml:space="preserve">Non-affiliated Volumes</t>
  </si>
  <si>
    <t xml:space="preserve">New Projects (Total Capacity)</t>
  </si>
  <si>
    <t xml:space="preserve">Mainline 104</t>
  </si>
  <si>
    <t xml:space="preserve">Southern Trails</t>
  </si>
  <si>
    <t xml:space="preserve">Central Utah</t>
  </si>
  <si>
    <t xml:space="preserve">Throughput Volumes (MMBtu)</t>
  </si>
  <si>
    <t xml:space="preserve">Storage</t>
  </si>
  <si>
    <t xml:space="preserve">Rev per Exp $</t>
  </si>
  <si>
    <t xml:space="preserve">Operating Margin</t>
  </si>
  <si>
    <t xml:space="preserve">INT &amp; OTHER INCOME</t>
  </si>
  <si>
    <t xml:space="preserve">DEPRICIATION &amp; AMORTIZATION</t>
  </si>
  <si>
    <t xml:space="preserve">X</t>
  </si>
  <si>
    <t xml:space="preserve">TOTAL CASH FLOW AVAILABLE TO INVESTORS</t>
  </si>
  <si>
    <t xml:space="preserve">Hard -Code </t>
  </si>
  <si>
    <t xml:space="preserve">Electric Utility</t>
  </si>
  <si>
    <t xml:space="preserve">Gas Utility</t>
  </si>
  <si>
    <t xml:space="preserve">Natual Gas Transmission</t>
  </si>
  <si>
    <t xml:space="preserve">Independent Power Production</t>
  </si>
  <si>
    <t xml:space="preserve">Oil &amp; Gas E&amp;P</t>
  </si>
  <si>
    <t xml:space="preserve">Marketing, Services and Trading</t>
  </si>
  <si>
    <t xml:space="preserve">International Energy Distribution</t>
  </si>
  <si>
    <t xml:space="preserve">Total Revenues</t>
  </si>
  <si>
    <t xml:space="preserve">Oil &amp; Gas Exploration and Production</t>
  </si>
  <si>
    <t xml:space="preserve">Fuel for Electric Generation</t>
  </si>
  <si>
    <t xml:space="preserve">Purchased Pwr: Mkt, Srvcs &amp; Trade</t>
  </si>
  <si>
    <t xml:space="preserve">Purchased and Interchange Power</t>
  </si>
  <si>
    <t xml:space="preserve">Purchased Power - Related Parties</t>
  </si>
  <si>
    <t xml:space="preserve">Cost of Gas Sold - Mkt, Srvcs &amp; Trade</t>
  </si>
  <si>
    <t xml:space="preserve">Cost of Gas Sold</t>
  </si>
  <si>
    <t xml:space="preserve">Other Operating Expenses</t>
  </si>
  <si>
    <t xml:space="preserve">Maintenance</t>
  </si>
  <si>
    <t xml:space="preserve">Total Expenses</t>
  </si>
  <si>
    <t xml:space="preserve">CAPITAL EXPENDITURE PROJECTIONS ($000'S)</t>
  </si>
  <si>
    <t xml:space="preserve">Consumers Electric Operations</t>
  </si>
  <si>
    <t xml:space="preserve">Consumers Gas Operations</t>
  </si>
  <si>
    <t xml:space="preserve">Natural Gas Transmission</t>
  </si>
  <si>
    <t xml:space="preserve">Oil and Gas E&amp;P</t>
  </si>
  <si>
    <t xml:space="preserve">Total CAPEX</t>
  </si>
  <si>
    <t xml:space="preserve">Oil and Gas Exploration and Production</t>
  </si>
  <si>
    <t xml:space="preserve">(O&amp;M + Storage Growth Assumptions Redux)</t>
  </si>
  <si>
    <t xml:space="preserve">Alta Market Resources</t>
  </si>
  <si>
    <t xml:space="preserve">Alta Gas Co</t>
  </si>
  <si>
    <t xml:space="preserve">Alta Pipeline Company</t>
  </si>
  <si>
    <t xml:space="preserve">Volume Growth Curves</t>
  </si>
  <si>
    <t xml:space="preserve">Capacity Discount</t>
  </si>
  <si>
    <t xml:space="preserve">Price Curves</t>
  </si>
  <si>
    <t xml:space="preserve">Avg. Transport Gas Rate</t>
  </si>
  <si>
    <t xml:space="preserve">Avg. Storage Rate</t>
  </si>
  <si>
    <t xml:space="preserve">Other Storage Revenue Growth</t>
  </si>
  <si>
    <t xml:space="preserve">Processing Revenue Growth</t>
  </si>
  <si>
    <t xml:space="preserve">Other Business Revenue Growth</t>
  </si>
  <si>
    <t xml:space="preserve">Interest &amp; Other Income Growth</t>
  </si>
  <si>
    <t xml:space="preserve">Unconsolidated Income Growth</t>
  </si>
  <si>
    <t xml:space="preserve">Expense Projections</t>
  </si>
  <si>
    <t xml:space="preserve">O &amp; M Growth</t>
  </si>
  <si>
    <t xml:space="preserve">Mainline 104 (Exp/Rev)</t>
  </si>
  <si>
    <t xml:space="preserve">Southern Trails (Exp/Rev)</t>
  </si>
  <si>
    <t xml:space="preserve">Other Taxes Growth</t>
  </si>
  <si>
    <t xml:space="preserve">Capex Growth Projections</t>
  </si>
  <si>
    <t xml:space="preserve">Transmission System CAPEX Growth</t>
  </si>
  <si>
    <t xml:space="preserve">Mainline 104 CAPEX Growth</t>
  </si>
  <si>
    <t xml:space="preserve">Southern Trails Pipeline CAPEX Growth</t>
  </si>
  <si>
    <t xml:space="preserve">Central Utah CAPEX Growth</t>
  </si>
  <si>
    <t xml:space="preserve">Storage CAPEX Growth</t>
  </si>
  <si>
    <t xml:space="preserve">Processing Plant CAPEX Growth</t>
  </si>
  <si>
    <t xml:space="preserve">Partnerships CAPEX Growth</t>
  </si>
  <si>
    <t xml:space="preserve">General CAPEX Growth</t>
  </si>
  <si>
    <t xml:space="preserve">Alta Other Businesses</t>
  </si>
  <si>
    <t xml:space="preserve">(Base Case Scenario)</t>
  </si>
  <si>
    <t xml:space="preserve">Discount Rate</t>
  </si>
  <si>
    <t xml:space="preserve">Multiple and Discount Rate Analysis</t>
  </si>
  <si>
    <t xml:space="preserve">Purchase Price Scenarios (Equity Value)</t>
  </si>
  <si>
    <t xml:space="preserve">Discount</t>
  </si>
  <si>
    <t xml:space="preserve">Multiple and Implied Perpetual Value</t>
  </si>
  <si>
    <t xml:space="preserve">Year 11 Implied Value</t>
  </si>
  <si>
    <t xml:space="preserve">Year 11 Free Cash Flow</t>
  </si>
  <si>
    <t xml:space="preserve">Discount Rate </t>
  </si>
  <si>
    <t xml:space="preserve">Implied Growth Rate</t>
  </si>
  <si>
    <t xml:space="preserve">Multiple and Implied Perpetual Value (ENE Required Rate of Return)</t>
  </si>
  <si>
    <t xml:space="preserve">Debt/Total Cap</t>
  </si>
  <si>
    <t xml:space="preserve">IRR with Leverage and Interest Rate Scenarios (Base Case Assumptions)</t>
  </si>
  <si>
    <t xml:space="preserve">Debt/Total Capitalization</t>
  </si>
  <si>
    <t xml:space="preserve">Cost of </t>
  </si>
  <si>
    <t xml:space="preserve">Consolidated Balance Sheet</t>
  </si>
  <si>
    <t xml:space="preserve">Elim.</t>
  </si>
  <si>
    <t xml:space="preserve">Pro Forma</t>
  </si>
  <si>
    <t xml:space="preserve">ASSETS</t>
  </si>
  <si>
    <t xml:space="preserve">Current Assets</t>
  </si>
  <si>
    <t xml:space="preserve">  Accounts &amp; Notes Receivable</t>
  </si>
  <si>
    <t xml:space="preserve">    Assoc Co</t>
  </si>
  <si>
    <t xml:space="preserve">    Other</t>
  </si>
  <si>
    <t xml:space="preserve">    Employee</t>
  </si>
  <si>
    <t xml:space="preserve">  Inventories</t>
  </si>
  <si>
    <t xml:space="preserve">  Materials &amp; Supplies</t>
  </si>
  <si>
    <t xml:space="preserve">  Prepayments - other</t>
  </si>
  <si>
    <t xml:space="preserve">  Misc. Other Current Assets</t>
  </si>
  <si>
    <t xml:space="preserve">SUBTOTAL</t>
  </si>
  <si>
    <t xml:space="preserve">Investments and Other Assets</t>
  </si>
  <si>
    <t xml:space="preserve">  PP&amp;E</t>
  </si>
  <si>
    <t xml:space="preserve">  Accum. Dep. - PP&amp;E</t>
  </si>
  <si>
    <t xml:space="preserve">Deferred Charges</t>
  </si>
  <si>
    <t xml:space="preserve">TOTAL Assets</t>
  </si>
  <si>
    <t xml:space="preserve">LIABILITIES &amp; CAPITAL</t>
  </si>
  <si>
    <t xml:space="preserve">Current Liabilities</t>
  </si>
  <si>
    <t xml:space="preserve">  Accounts Payable - Assoc Cos.</t>
  </si>
  <si>
    <t xml:space="preserve">  Accounts Payable - Other</t>
  </si>
  <si>
    <t xml:space="preserve">  Income Taxes Payable</t>
  </si>
  <si>
    <t xml:space="preserve">  Accrued Taxes</t>
  </si>
  <si>
    <t xml:space="preserve">  Deferred Income Taxes - Current</t>
  </si>
  <si>
    <t xml:space="preserve">  Other Misc Liability - Current</t>
  </si>
  <si>
    <t xml:space="preserve">Deferred Credits &amp; Other Liab.</t>
  </si>
  <si>
    <t xml:space="preserve">  Deferred Credits - Other</t>
  </si>
  <si>
    <t xml:space="preserve">  Deferred Income Taxes</t>
  </si>
  <si>
    <t xml:space="preserve">Capital</t>
  </si>
  <si>
    <t xml:space="preserve">  Payable to/(Rec. from) Co 535</t>
  </si>
  <si>
    <t xml:space="preserve">  Payable to/(Rec. from) Corp</t>
  </si>
  <si>
    <t xml:space="preserve">  Capitalization</t>
  </si>
  <si>
    <t xml:space="preserve">TOTAL LIAB. &amp; EQ.</t>
  </si>
</sst>
</file>

<file path=xl/styles.xml><?xml version="1.0" encoding="utf-8"?>
<styleSheet xmlns="http://schemas.openxmlformats.org/spreadsheetml/2006/main">
  <numFmts count="38">
    <numFmt numFmtId="164" formatCode="General"/>
    <numFmt numFmtId="165" formatCode="_(* #,##0.00_);_(* \(#,##0.00\);_(* \-??_);_(@_)"/>
    <numFmt numFmtId="166" formatCode="0%"/>
    <numFmt numFmtId="167" formatCode="0.0%"/>
    <numFmt numFmtId="168" formatCode="0"/>
    <numFmt numFmtId="169" formatCode="0.00%"/>
    <numFmt numFmtId="170" formatCode="[$-409]m/d/yyyy\ h:mm"/>
    <numFmt numFmtId="171" formatCode="0.00"/>
    <numFmt numFmtId="172" formatCode="_(* #,##0_);_(* \(#,##0\);_(* \-??_);_(@_)"/>
    <numFmt numFmtId="173" formatCode="_(\$* #,##0.00_);_(\$* \(#,##0.00\);_(\$* \-??_);_(@_)"/>
    <numFmt numFmtId="174" formatCode="_(\$* #,##0_);_(\$* \(#,##0\);_(\$* \-??_);_(@_)"/>
    <numFmt numFmtId="175" formatCode="#\x"/>
    <numFmt numFmtId="176" formatCode="&quot;Yes&quot;_%_);;&quot;No&quot;_%_)"/>
    <numFmt numFmtId="177" formatCode="#,##0.0_%_);\(#,##0.0\)_%;#,##0.0_%_);@_%_)"/>
    <numFmt numFmtId="178" formatCode="0%_);\(0%\);0%_);@_%_)"/>
    <numFmt numFmtId="179" formatCode="#,##0.00_%_);\(#,##0.00\)_%;#,##0.00_%_);@_%_)"/>
    <numFmt numFmtId="180" formatCode="0.00%_);\(0.00%\);0.00%_);@_%_)"/>
    <numFmt numFmtId="181" formatCode="\$#,##0_);[RED]&quot;($&quot;#,##0\)"/>
    <numFmt numFmtId="182" formatCode="#,##0_%_);\(#,##0\)_%;#,##0_%_);@_%_)"/>
    <numFmt numFmtId="183" formatCode="0.0\x_)_);&quot;NM&quot;_x_)_);0.0\x_)_);@_%_)"/>
    <numFmt numFmtId="184" formatCode="0.0%_);\(0.0%\);0.0%_);@_%_)"/>
    <numFmt numFmtId="185" formatCode="\$#,##0.00_);[RED]&quot;($&quot;#,##0.00\)"/>
    <numFmt numFmtId="186" formatCode="###0_%_);\(#,##0\)_%;#,##0_%_);@_%_)"/>
    <numFmt numFmtId="187" formatCode="\$#,##0.0_%_);&quot;($&quot;#,##0.0\)_%;\$#,##0.0_%_);@_%_)"/>
    <numFmt numFmtId="188" formatCode="#,##0.0%_);\(#,##0.0%\);0.0%_);@_%_)"/>
    <numFmt numFmtId="189" formatCode="\$#,##0.00_%_);&quot;($&quot;#,##0.00\)_%;\$#,##0.00_%_);@_%_)"/>
    <numFmt numFmtId="190" formatCode="#,##0.0_%_);\(#,##0.0\)_%;[WHITE]#,##0.0_%_);@_%_)"/>
    <numFmt numFmtId="191" formatCode="_(\$* #,##0.000_);_(\$* \(#,##0.000\);_(\$* \-???_);_(@_)"/>
    <numFmt numFmtId="192" formatCode="_(\$* #,##0.00_);_(\$* \(#,##0.00\);_(\$* \-???_);_(@_)"/>
    <numFmt numFmtId="193" formatCode="_(\$* #,##0.000_);_(\$* \(#,##0.000\);_(\$* \-??_);_(@_)"/>
    <numFmt numFmtId="194" formatCode="_(* #,##0.0_);_(* \(#,##0.0\);_(* \-??_);_(@_)"/>
    <numFmt numFmtId="195" formatCode="0.0000"/>
    <numFmt numFmtId="196" formatCode="_(* #,##0.0000_);_(* \(#,##0.0000\);_(* \-??_);_(@_)"/>
    <numFmt numFmtId="197" formatCode="[$-409]m/d/yyyy"/>
    <numFmt numFmtId="198" formatCode="0.0"/>
    <numFmt numFmtId="199" formatCode="0.00\x"/>
    <numFmt numFmtId="200" formatCode="\$#,##0.0000_);[RED]&quot;($&quot;#,##0.0000\)"/>
    <numFmt numFmtId="201" formatCode="[$-409]mmm\-yy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Helvetica-Black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9"/>
      <name val="Arial"/>
      <family val="2"/>
    </font>
    <font>
      <i val="true"/>
      <sz val="10"/>
      <name val="Arial"/>
      <family val="2"/>
    </font>
    <font>
      <b val="true"/>
      <sz val="11"/>
      <name val="Arial"/>
      <family val="2"/>
    </font>
    <font>
      <b val="true"/>
      <sz val="16"/>
      <color rgb="FFFFFFFF"/>
      <name val="Arial"/>
      <family val="2"/>
    </font>
    <font>
      <b val="true"/>
      <sz val="12"/>
      <color rgb="FF0000FF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  <font>
      <sz val="9"/>
      <color rgb="FFFF000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FFFFFF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0000FF"/>
      <name val="Arial"/>
      <family val="0"/>
    </font>
    <font>
      <sz val="10"/>
      <color rgb="FF000000"/>
      <name val="Arial"/>
      <family val="2"/>
    </font>
    <font>
      <b val="true"/>
      <i val="true"/>
      <sz val="12"/>
      <name val="Arial"/>
      <family val="2"/>
    </font>
    <font>
      <sz val="8"/>
      <name val="Arial"/>
      <family val="2"/>
    </font>
    <font>
      <sz val="10"/>
      <color rgb="FF003300"/>
      <name val="Arial"/>
      <family val="2"/>
    </font>
    <font>
      <b val="true"/>
      <sz val="9"/>
      <color rgb="FFFFFFFF"/>
      <name val="Arial"/>
      <family val="2"/>
    </font>
    <font>
      <sz val="9"/>
      <color rgb="FFFFFF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00808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00"/>
      <name val="Arial"/>
      <family val="2"/>
    </font>
    <font>
      <sz val="8"/>
      <color rgb="FF0000FF"/>
      <name val="Arial"/>
      <family val="2"/>
    </font>
    <font>
      <sz val="10"/>
      <color rgb="FF003366"/>
      <name val="Arial"/>
      <family val="2"/>
    </font>
    <font>
      <b val="true"/>
      <sz val="14"/>
      <color rgb="FFFFFFFF"/>
      <name val="Arial"/>
      <family val="2"/>
    </font>
    <font>
      <u val="single"/>
      <sz val="10"/>
      <name val="Arial"/>
      <family val="2"/>
    </font>
    <font>
      <i val="true"/>
      <sz val="10"/>
      <color rgb="FFFF0000"/>
      <name val="Arial"/>
      <family val="2"/>
    </font>
    <font>
      <sz val="10"/>
      <color rgb="FF3366FF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</cellStyleXfs>
  <cellXfs count="9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5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5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4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4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3" fillId="4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3" fillId="4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4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4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4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4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3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4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4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4" fillId="4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4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2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3" fillId="4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4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4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4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0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9" fillId="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29" fillId="3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3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3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3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3" fillId="4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3" fillId="4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2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6" fontId="6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3" borderId="26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3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1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7" fontId="2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7" fontId="6" fillId="0" borderId="2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7" fontId="6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6" fillId="0" borderId="25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7" fontId="6" fillId="0" borderId="2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5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6" fillId="0" borderId="25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25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25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0" fillId="3" borderId="25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7" fontId="20" fillId="3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3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9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9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3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7" fontId="6" fillId="0" borderId="2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9" fontId="6" fillId="0" borderId="2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9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87" fontId="6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9" fontId="6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9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5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6" fillId="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7" fontId="6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6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7" fontId="4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5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4" fontId="6" fillId="0" borderId="2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7" fontId="6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36" fillId="0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7" fontId="6" fillId="0" borderId="3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3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3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21" fillId="3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0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7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3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13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13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2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4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5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3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7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1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7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2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6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6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5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5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5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4" fillId="5" borderId="16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5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5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6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25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" fillId="7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7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5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5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0" fillId="5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0" fillId="5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3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3" fillId="4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5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4" fillId="5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5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5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5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5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" fillId="7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6" fillId="7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23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7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7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99" fontId="4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3" fillId="7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7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4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4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3" fillId="4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4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7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7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7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3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5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7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7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3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7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6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6" fillId="7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6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36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6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3" fillId="4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4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3" fillId="4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3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7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7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4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4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3" fontId="4" fillId="7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7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7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45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0" fillId="5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0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5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5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4" fillId="5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5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5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5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3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7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2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5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4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3" fillId="4" borderId="2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3" fillId="4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4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4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4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4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4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4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3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4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3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Crane SSB DCF08_30_00(6)" xfId="20"/>
    <cellStyle name="Normal_CONSOLIDATED" xfId="21"/>
    <cellStyle name="Normal_Crane SSB DCF08_30_00(6)" xfId="22"/>
    <cellStyle name="Normal_Project Zen~Full DCF 211299" xfId="23"/>
    <cellStyle name="Table Title" xfId="24"/>
  </cellStyles>
  <dxfs count="5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externalLink" Target="externalLinks/externalLink3.xml"/><Relationship Id="rId27" Type="http://schemas.openxmlformats.org/officeDocument/2006/relationships/externalLink" Target="externalLinks/externalLink4.xml"/><Relationship Id="rId28" Type="http://schemas.openxmlformats.org/officeDocument/2006/relationships/externalLink" Target="externalLinks/externalLink5.xml"/><Relationship Id="rId2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20520</xdr:colOff>
      <xdr:row>41</xdr:row>
      <xdr:rowOff>19080</xdr:rowOff>
    </xdr:from>
    <xdr:to>
      <xdr:col>9</xdr:col>
      <xdr:colOff>212400</xdr:colOff>
      <xdr:row>42</xdr:row>
      <xdr:rowOff>142920</xdr:rowOff>
    </xdr:to>
    <xdr:sp>
      <xdr:nvSpPr>
        <xdr:cNvPr id="0" name="Rectangle 21"/>
        <xdr:cNvSpPr/>
      </xdr:nvSpPr>
      <xdr:spPr>
        <a:xfrm>
          <a:off x="8603640" y="7229520"/>
          <a:ext cx="1580760" cy="28584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44</xdr:row>
      <xdr:rowOff>28440</xdr:rowOff>
    </xdr:from>
    <xdr:to>
      <xdr:col>9</xdr:col>
      <xdr:colOff>232200</xdr:colOff>
      <xdr:row>45</xdr:row>
      <xdr:rowOff>142920</xdr:rowOff>
    </xdr:to>
    <xdr:sp>
      <xdr:nvSpPr>
        <xdr:cNvPr id="1" name="Rectangle 23"/>
        <xdr:cNvSpPr/>
      </xdr:nvSpPr>
      <xdr:spPr>
        <a:xfrm>
          <a:off x="8592840" y="7724520"/>
          <a:ext cx="1611360" cy="2764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38</xdr:row>
      <xdr:rowOff>18720</xdr:rowOff>
    </xdr:from>
    <xdr:to>
      <xdr:col>9</xdr:col>
      <xdr:colOff>212400</xdr:colOff>
      <xdr:row>39</xdr:row>
      <xdr:rowOff>133560</xdr:rowOff>
    </xdr:to>
    <xdr:sp>
      <xdr:nvSpPr>
        <xdr:cNvPr id="2" name="Rectangle 24"/>
        <xdr:cNvSpPr/>
      </xdr:nvSpPr>
      <xdr:spPr>
        <a:xfrm>
          <a:off x="8592840" y="6743520"/>
          <a:ext cx="1591560" cy="2764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20520</xdr:colOff>
          <xdr:row>36</xdr:row>
          <xdr:rowOff>476280</xdr:rowOff>
        </xdr:from>
        <xdr:to>
          <xdr:col>6</xdr:col>
          <xdr:colOff>72000</xdr:colOff>
          <xdr:row>38</xdr:row>
          <xdr:rowOff>37800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29880</xdr:colOff>
          <xdr:row>40</xdr:row>
          <xdr:rowOff>9720</xdr:rowOff>
        </xdr:from>
        <xdr:to>
          <xdr:col>6</xdr:col>
          <xdr:colOff>51120</xdr:colOff>
          <xdr:row>41</xdr:row>
          <xdr:rowOff>47520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50040</xdr:colOff>
          <xdr:row>43</xdr:row>
          <xdr:rowOff>9360</xdr:rowOff>
        </xdr:from>
        <xdr:to>
          <xdr:col>6</xdr:col>
          <xdr:colOff>72000</xdr:colOff>
          <xdr:row>44</xdr:row>
          <xdr:rowOff>47520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111240</xdr:colOff>
          <xdr:row>37</xdr:row>
          <xdr:rowOff>9360</xdr:rowOff>
        </xdr:from>
        <xdr:to>
          <xdr:col>7</xdr:col>
          <xdr:colOff>-48600</xdr:colOff>
          <xdr:row>38</xdr:row>
          <xdr:rowOff>66240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90360</xdr:colOff>
          <xdr:row>40</xdr:row>
          <xdr:rowOff>9720</xdr:rowOff>
        </xdr:from>
        <xdr:to>
          <xdr:col>7</xdr:col>
          <xdr:colOff>-18360</xdr:colOff>
          <xdr:row>41</xdr:row>
          <xdr:rowOff>75960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81360</xdr:colOff>
          <xdr:row>43</xdr:row>
          <xdr:rowOff>9360</xdr:rowOff>
        </xdr:from>
        <xdr:to>
          <xdr:col>7</xdr:col>
          <xdr:colOff>-39240</xdr:colOff>
          <xdr:row>44</xdr:row>
          <xdr:rowOff>66600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694080</xdr:colOff>
      <xdr:row>83</xdr:row>
      <xdr:rowOff>9720</xdr:rowOff>
    </xdr:from>
    <xdr:to>
      <xdr:col>9</xdr:col>
      <xdr:colOff>484200</xdr:colOff>
      <xdr:row>87</xdr:row>
      <xdr:rowOff>28440</xdr:rowOff>
    </xdr:to>
    <xdr:sp>
      <xdr:nvSpPr>
        <xdr:cNvPr id="3" name="Oval 159"/>
        <xdr:cNvSpPr/>
      </xdr:nvSpPr>
      <xdr:spPr>
        <a:xfrm>
          <a:off x="8804880" y="14001840"/>
          <a:ext cx="1450800" cy="71424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201240</xdr:colOff>
      <xdr:row>1</xdr:row>
      <xdr:rowOff>9720</xdr:rowOff>
    </xdr:from>
    <xdr:to>
      <xdr:col>4</xdr:col>
      <xdr:colOff>583920</xdr:colOff>
      <xdr:row>3</xdr:row>
      <xdr:rowOff>142560</xdr:rowOff>
    </xdr:to>
    <xdr:sp>
      <xdr:nvSpPr>
        <xdr:cNvPr id="4" name="Rectangle 160"/>
        <xdr:cNvSpPr/>
      </xdr:nvSpPr>
      <xdr:spPr>
        <a:xfrm>
          <a:off x="4790520" y="276480"/>
          <a:ext cx="1157400" cy="504360"/>
        </a:xfrm>
        <a:prstGeom prst="rect">
          <a:avLst/>
        </a:prstGeom>
        <a:solidFill>
          <a:srgbClr val="ffff00"/>
        </a:solidFill>
        <a:ln w="0">
          <a:noFill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684360</xdr:colOff>
      <xdr:row>41</xdr:row>
      <xdr:rowOff>0</xdr:rowOff>
    </xdr:from>
    <xdr:to>
      <xdr:col>5</xdr:col>
      <xdr:colOff>232200</xdr:colOff>
      <xdr:row>44</xdr:row>
      <xdr:rowOff>162000</xdr:rowOff>
    </xdr:to>
    <xdr:sp>
      <xdr:nvSpPr>
        <xdr:cNvPr id="5" name="Oval 12"/>
        <xdr:cNvSpPr/>
      </xdr:nvSpPr>
      <xdr:spPr>
        <a:xfrm>
          <a:off x="3422520" y="6962760"/>
          <a:ext cx="1600200" cy="70488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161280</xdr:colOff>
      <xdr:row>1</xdr:row>
      <xdr:rowOff>0</xdr:rowOff>
    </xdr:from>
    <xdr:to>
      <xdr:col>4</xdr:col>
      <xdr:colOff>393840</xdr:colOff>
      <xdr:row>3</xdr:row>
      <xdr:rowOff>9360</xdr:rowOff>
    </xdr:to>
    <xdr:sp>
      <xdr:nvSpPr>
        <xdr:cNvPr id="6" name="Rectangle 14"/>
        <xdr:cNvSpPr/>
      </xdr:nvSpPr>
      <xdr:spPr>
        <a:xfrm>
          <a:off x="2899440" y="257040"/>
          <a:ext cx="1258560" cy="419040"/>
        </a:xfrm>
        <a:prstGeom prst="rect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684360</xdr:colOff>
      <xdr:row>39</xdr:row>
      <xdr:rowOff>0</xdr:rowOff>
    </xdr:from>
    <xdr:to>
      <xdr:col>5</xdr:col>
      <xdr:colOff>232200</xdr:colOff>
      <xdr:row>42</xdr:row>
      <xdr:rowOff>162000</xdr:rowOff>
    </xdr:to>
    <xdr:sp>
      <xdr:nvSpPr>
        <xdr:cNvPr id="7" name="Oval 10"/>
        <xdr:cNvSpPr/>
      </xdr:nvSpPr>
      <xdr:spPr>
        <a:xfrm>
          <a:off x="5001840" y="6753240"/>
          <a:ext cx="1600200" cy="70488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161280</xdr:colOff>
      <xdr:row>1</xdr:row>
      <xdr:rowOff>0</xdr:rowOff>
    </xdr:from>
    <xdr:to>
      <xdr:col>4</xdr:col>
      <xdr:colOff>393840</xdr:colOff>
      <xdr:row>3</xdr:row>
      <xdr:rowOff>9360</xdr:rowOff>
    </xdr:to>
    <xdr:sp>
      <xdr:nvSpPr>
        <xdr:cNvPr id="8" name="Rectangle 11"/>
        <xdr:cNvSpPr/>
      </xdr:nvSpPr>
      <xdr:spPr>
        <a:xfrm>
          <a:off x="4478760" y="257040"/>
          <a:ext cx="1258560" cy="419040"/>
        </a:xfrm>
        <a:prstGeom prst="rect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684360</xdr:colOff>
      <xdr:row>39</xdr:row>
      <xdr:rowOff>0</xdr:rowOff>
    </xdr:from>
    <xdr:to>
      <xdr:col>5</xdr:col>
      <xdr:colOff>232200</xdr:colOff>
      <xdr:row>42</xdr:row>
      <xdr:rowOff>162000</xdr:rowOff>
    </xdr:to>
    <xdr:sp>
      <xdr:nvSpPr>
        <xdr:cNvPr id="9" name="Oval 10"/>
        <xdr:cNvSpPr/>
      </xdr:nvSpPr>
      <xdr:spPr>
        <a:xfrm>
          <a:off x="5001840" y="6724800"/>
          <a:ext cx="1600200" cy="704880"/>
        </a:xfrm>
        <a:prstGeom prst="ellipse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Purchase Price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161280</xdr:colOff>
      <xdr:row>1</xdr:row>
      <xdr:rowOff>0</xdr:rowOff>
    </xdr:from>
    <xdr:to>
      <xdr:col>4</xdr:col>
      <xdr:colOff>393840</xdr:colOff>
      <xdr:row>3</xdr:row>
      <xdr:rowOff>9360</xdr:rowOff>
    </xdr:to>
    <xdr:sp>
      <xdr:nvSpPr>
        <xdr:cNvPr id="10" name="Rectangle 11"/>
        <xdr:cNvSpPr/>
      </xdr:nvSpPr>
      <xdr:spPr>
        <a:xfrm>
          <a:off x="4478760" y="228600"/>
          <a:ext cx="1258560" cy="419040"/>
        </a:xfrm>
        <a:prstGeom prst="rect">
          <a:avLst/>
        </a:prstGeom>
        <a:solidFill>
          <a:srgbClr val="ffff00"/>
        </a:solidFill>
        <a:ln w="0">
          <a:noFill/>
        </a:ln>
        <a:effectLst>
          <a:outerShdw dist="53966" dir="2700000" blurRad="0" rotWithShape="0">
            <a:srgbClr val="9898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Run Macro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:/Corporate/GPGFin/Cfp/JG-ADAMS/1999Cash/BusinessUnitCashFlow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LG&amp;E%20061200v2_r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LG&amp;E%20061200v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nron%20Ind%20Markets/Excel%20Files/Crane/Active%20Cranes/Final_Quebec_120100_360%20(used%20by%20RAC)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Lge/PowerTex01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QTRActivity"/>
      <sheetName val="DecYTD"/>
      <sheetName val="OctYTD"/>
      <sheetName val="SeptYTD"/>
      <sheetName val="JuneYTD"/>
      <sheetName val="MarchYTD"/>
      <sheetName val="AugustYTD"/>
      <sheetName val="SeptYTDAdj"/>
      <sheetName val="Working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Ratios"/>
      <sheetName val="RETURNS"/>
      <sheetName val="CONSOLIDATED"/>
      <sheetName val="Cons. BS"/>
      <sheetName val="Enron"/>
      <sheetName val="Storage"/>
      <sheetName val="Reg Trans (311)"/>
      <sheetName val="Power Tex"/>
      <sheetName val="Agave"/>
      <sheetName val="Llano"/>
      <sheetName val="Antelope Ridge"/>
      <sheetName val="Hobbs"/>
      <sheetName val="Orphans"/>
      <sheetName val="Sale Ranch"/>
      <sheetName val="Other"/>
      <sheetName val="Capex"/>
      <sheetName val="LG&amp;E 061200v2_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nron Ratios"/>
      <sheetName val="RETURNS"/>
      <sheetName val="CONSOLIDATED"/>
      <sheetName val="Cons. BS"/>
      <sheetName val="Enron"/>
      <sheetName val="Storage"/>
      <sheetName val="Reg Trans (311)"/>
      <sheetName val="Power Tex"/>
      <sheetName val="Agave"/>
      <sheetName val="Llano"/>
      <sheetName val="Antelope Ridge"/>
      <sheetName val="Hobbs"/>
      <sheetName val="Orphans"/>
      <sheetName val="Sale Ranch"/>
      <sheetName val="Other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TC"/>
      <sheetName val="Summary"/>
      <sheetName val="P&amp;L"/>
      <sheetName val="BS"/>
      <sheetName val="CFS"/>
      <sheetName val="DCF_CAN"/>
      <sheetName val="DCF_US"/>
      <sheetName val="Financing Assumptions"/>
      <sheetName val="Volume Assumptions"/>
      <sheetName val="Curves Assumptions"/>
      <sheetName val="Other Assumptions"/>
      <sheetName val="Pricing"/>
      <sheetName val="Fiber Flow"/>
      <sheetName val="Energy"/>
      <sheetName val="Depr"/>
      <sheetName val="Amort"/>
      <sheetName val="Taxes"/>
      <sheetName val="Debt"/>
      <sheetName val="Leduc"/>
      <sheetName val="Ste-Aurelie"/>
      <sheetName val="Appendix"/>
      <sheetName val="Costs"/>
      <sheetName val="Print Controls"/>
      <sheetName val="Quebec - Natural Gas"/>
      <sheetName val=" Quebec - Steam (QUC)"/>
      <sheetName val="Quebec - Bunker Fuel"/>
      <sheetName val="Contingent Liabilities"/>
      <sheetName val="Fiber flow backup"/>
      <sheetName val="LOG"/>
      <sheetName val="RAROC Assumptions"/>
      <sheetName val="RAROC Valuation"/>
      <sheetName val="Price Forecast"/>
      <sheetName val="Fuel Oil"/>
      <sheetName val="LIBOR"/>
      <sheetName val="USInf"/>
      <sheetName val="Canada"/>
      <sheetName val="SENS"/>
      <sheetName val="Sensitivities"/>
      <sheetName val="PrintMacro"/>
    </sheetNames>
    <sheetDataSet>
      <sheetData sheetId="0"/>
      <sheetData sheetId="1"/>
      <sheetData sheetId="2"/>
      <sheetData sheetId="3">
        <row r="13">
          <cell r="E13">
            <v>127.408566416964</v>
          </cell>
          <cell r="F13">
            <v>121.429418781134</v>
          </cell>
          <cell r="G13">
            <v>92.074595205227</v>
          </cell>
          <cell r="H13">
            <v>134.941237205983</v>
          </cell>
          <cell r="I13">
            <v>95.2749194926975</v>
          </cell>
          <cell r="J13">
            <v>105.341334259405</v>
          </cell>
        </row>
        <row r="13">
          <cell r="P13">
            <v>110.42577780071</v>
          </cell>
          <cell r="Q13">
            <v>116.360337226748</v>
          </cell>
          <cell r="R13">
            <v>110.093957414191</v>
          </cell>
          <cell r="S13">
            <v>106.093207214958</v>
          </cell>
          <cell r="T13">
            <v>101.441201968432</v>
          </cell>
        </row>
        <row r="28">
          <cell r="P28">
            <v>24.3545789465925</v>
          </cell>
          <cell r="Q28">
            <v>19.1343072952758</v>
          </cell>
        </row>
      </sheetData>
      <sheetData sheetId="4">
        <row r="7">
          <cell r="N7">
            <v>0</v>
          </cell>
          <cell r="O7">
            <v>0</v>
          </cell>
          <cell r="P7">
            <v>2.4596275344541</v>
          </cell>
          <cell r="Q7">
            <v>8.47841842873459</v>
          </cell>
          <cell r="R7">
            <v>7.79534002166762</v>
          </cell>
        </row>
        <row r="11">
          <cell r="P11">
            <v>92.8810633228327</v>
          </cell>
        </row>
        <row r="19">
          <cell r="P19">
            <v>26.2391429192951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33">
          <cell r="O33">
            <v>48.6200808875489</v>
          </cell>
          <cell r="P33">
            <v>44.8303250441472</v>
          </cell>
          <cell r="Q33">
            <v>40.6625179604876</v>
          </cell>
          <cell r="R33">
            <v>36.5040322897511</v>
          </cell>
          <cell r="S33">
            <v>32.5606463690591</v>
          </cell>
          <cell r="T33">
            <v>27.5668877494371</v>
          </cell>
        </row>
        <row r="35">
          <cell r="O35">
            <v>2.47620001456165</v>
          </cell>
        </row>
        <row r="36">
          <cell r="P36">
            <v>3.86382100393384</v>
          </cell>
          <cell r="Q36">
            <v>4.39895090620851</v>
          </cell>
          <cell r="R36">
            <v>4.78616573604455</v>
          </cell>
          <cell r="S36">
            <v>5.31102588501407</v>
          </cell>
          <cell r="T36">
            <v>6.08921838055354</v>
          </cell>
        </row>
        <row r="39">
          <cell r="P39">
            <v>1.35013287767434</v>
          </cell>
          <cell r="Q39">
            <v>1.86633994769376</v>
          </cell>
          <cell r="R39">
            <v>1.78437310205598</v>
          </cell>
          <cell r="S39">
            <v>1.99873241702632</v>
          </cell>
          <cell r="T39">
            <v>2.08104911007935</v>
          </cell>
        </row>
      </sheetData>
      <sheetData sheetId="5">
        <row r="23">
          <cell r="O23">
            <v>0</v>
          </cell>
          <cell r="P23">
            <v>23.9446773251689</v>
          </cell>
          <cell r="Q23">
            <v>45.4885960263118</v>
          </cell>
          <cell r="R23">
            <v>36.6752766432065</v>
          </cell>
          <cell r="S23">
            <v>43.5344002418948</v>
          </cell>
        </row>
      </sheetData>
      <sheetData sheetId="6"/>
      <sheetData sheetId="7">
        <row r="29">
          <cell r="M29">
            <v>5.5</v>
          </cell>
        </row>
        <row r="42">
          <cell r="M42">
            <v>0.132605031492617</v>
          </cell>
        </row>
        <row r="46">
          <cell r="P46">
            <v>323.774345728537</v>
          </cell>
        </row>
      </sheetData>
      <sheetData sheetId="8">
        <row r="33">
          <cell r="E33" t="str">
            <v>Debt Cash Sweep</v>
          </cell>
        </row>
      </sheetData>
      <sheetData sheetId="9">
        <row r="38">
          <cell r="P38">
            <v>514.6604</v>
          </cell>
        </row>
      </sheetData>
      <sheetData sheetId="10">
        <row r="13">
          <cell r="N13">
            <v>1.53099839080683</v>
          </cell>
          <cell r="O13">
            <v>1.53099839080683</v>
          </cell>
          <cell r="P13">
            <v>1.52083418815541</v>
          </cell>
          <cell r="Q13">
            <v>1.51311287691794</v>
          </cell>
          <cell r="R13">
            <v>1.50640524218893</v>
          </cell>
          <cell r="S13">
            <v>1.49842245188088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wer Tex"/>
      <sheetName val="levered"/>
      <sheetName val="Balance 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4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5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6.v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7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8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7" min="6" style="1" width="11.99"/>
    <col collapsed="false" customWidth="false" hidden="false" outlineLevel="0" max="257" min="8" style="1" width="9.14"/>
  </cols>
  <sheetData>
    <row r="2" customFormat="false" ht="12.75" hidden="false" customHeight="false" outlineLevel="0" collapsed="false">
      <c r="J2" s="2" t="s">
        <v>0</v>
      </c>
      <c r="K2" s="2" t="s">
        <v>1</v>
      </c>
    </row>
    <row r="3" customFormat="false" ht="18" hidden="false" customHeight="false" outlineLevel="0" collapsed="false">
      <c r="A3" s="3" t="s">
        <v>2</v>
      </c>
      <c r="G3" s="4" t="s">
        <v>3</v>
      </c>
      <c r="H3" s="5" t="s">
        <v>4</v>
      </c>
      <c r="J3" s="1" t="s">
        <v>5</v>
      </c>
    </row>
    <row r="4" customFormat="false" ht="12.75" hidden="false" customHeight="false" outlineLevel="0" collapsed="false">
      <c r="G4" s="4" t="s">
        <v>6</v>
      </c>
      <c r="H4" s="5" t="s">
        <v>7</v>
      </c>
      <c r="J4" s="1" t="s">
        <v>8</v>
      </c>
    </row>
    <row r="9" customFormat="false" ht="15" hidden="false" customHeight="false" outlineLevel="0" collapsed="false">
      <c r="A9" s="6" t="s">
        <v>9</v>
      </c>
    </row>
    <row r="12" customFormat="false" ht="12.75" hidden="false" customHeight="false" outlineLevel="0" collapsed="false">
      <c r="A12" s="2" t="n">
        <v>1</v>
      </c>
      <c r="B12" s="2" t="s">
        <v>10</v>
      </c>
      <c r="C12" s="2"/>
    </row>
    <row r="13" customFormat="false" ht="12.75" hidden="false" customHeight="false" outlineLevel="0" collapsed="false">
      <c r="B13" s="1" t="s">
        <v>11</v>
      </c>
    </row>
    <row r="14" customFormat="false" ht="12.75" hidden="false" customHeight="false" outlineLevel="0" collapsed="false">
      <c r="B14" s="1" t="s">
        <v>12</v>
      </c>
    </row>
    <row r="15" customFormat="false" ht="12.75" hidden="false" customHeight="false" outlineLevel="0" collapsed="false">
      <c r="B15" s="1" t="s">
        <v>13</v>
      </c>
    </row>
    <row r="17" customFormat="false" ht="12.75" hidden="false" customHeight="false" outlineLevel="0" collapsed="false">
      <c r="A17" s="2" t="n">
        <v>2</v>
      </c>
      <c r="B17" s="2" t="s">
        <v>14</v>
      </c>
      <c r="C17" s="2"/>
    </row>
    <row r="18" customFormat="false" ht="12.75" hidden="false" customHeight="false" outlineLevel="0" collapsed="false">
      <c r="A18" s="7" t="s">
        <v>15</v>
      </c>
      <c r="B18" s="1" t="s">
        <v>16</v>
      </c>
    </row>
    <row r="19" customFormat="false" ht="12.75" hidden="false" customHeight="false" outlineLevel="0" collapsed="false">
      <c r="A19" s="7" t="s">
        <v>17</v>
      </c>
      <c r="B19" s="1" t="s">
        <v>18</v>
      </c>
    </row>
    <row r="20" customFormat="false" ht="12.75" hidden="false" customHeight="false" outlineLevel="0" collapsed="false">
      <c r="A20" s="7" t="s">
        <v>19</v>
      </c>
      <c r="B20" s="1" t="s">
        <v>20</v>
      </c>
    </row>
    <row r="23" customFormat="false" ht="12.75" hidden="false" customHeight="false" outlineLevel="0" collapsed="false">
      <c r="A23" s="2" t="n">
        <v>2</v>
      </c>
      <c r="B23" s="2" t="s">
        <v>21</v>
      </c>
      <c r="C23" s="2"/>
    </row>
    <row r="24" customFormat="false" ht="12.75" hidden="false" customHeight="false" outlineLevel="0" collapsed="false">
      <c r="A24" s="7" t="s">
        <v>15</v>
      </c>
      <c r="B24" s="1" t="s">
        <v>22</v>
      </c>
    </row>
    <row r="25" customFormat="false" ht="12.75" hidden="false" customHeight="false" outlineLevel="0" collapsed="false">
      <c r="A25" s="7"/>
      <c r="B25" s="1" t="s">
        <v>23</v>
      </c>
    </row>
    <row r="26" customFormat="false" ht="12.75" hidden="false" customHeight="false" outlineLevel="0" collapsed="false">
      <c r="A26" s="7" t="s">
        <v>17</v>
      </c>
      <c r="B26" s="1" t="s">
        <v>24</v>
      </c>
    </row>
    <row r="27" customFormat="false" ht="12.75" hidden="false" customHeight="false" outlineLevel="0" collapsed="false">
      <c r="A27" s="7"/>
      <c r="B27" s="1" t="s">
        <v>25</v>
      </c>
    </row>
    <row r="28" customFormat="false" ht="12.75" hidden="false" customHeight="false" outlineLevel="0" collapsed="false">
      <c r="A28" s="7" t="s">
        <v>19</v>
      </c>
      <c r="B28" s="1" t="s">
        <v>26</v>
      </c>
    </row>
    <row r="29" customFormat="false" ht="12.75" hidden="false" customHeight="false" outlineLevel="0" collapsed="false">
      <c r="B29" s="1" t="s">
        <v>27</v>
      </c>
    </row>
    <row r="31" customFormat="false" ht="12.75" hidden="false" customHeight="false" outlineLevel="0" collapsed="false">
      <c r="A31" s="2" t="n">
        <v>3</v>
      </c>
      <c r="B31" s="2" t="s">
        <v>28</v>
      </c>
      <c r="C31" s="2"/>
      <c r="D31" s="2"/>
    </row>
    <row r="32" customFormat="false" ht="12.75" hidden="false" customHeight="false" outlineLevel="0" collapsed="false">
      <c r="A32" s="7" t="s">
        <v>15</v>
      </c>
      <c r="B32" s="1" t="s">
        <v>29</v>
      </c>
    </row>
    <row r="33" customFormat="false" ht="12.75" hidden="false" customHeight="false" outlineLevel="0" collapsed="false">
      <c r="A33" s="7"/>
      <c r="B33" s="1" t="s">
        <v>30</v>
      </c>
    </row>
    <row r="34" customFormat="false" ht="12.75" hidden="false" customHeight="false" outlineLevel="0" collapsed="false">
      <c r="A34" s="7" t="s">
        <v>17</v>
      </c>
      <c r="B34" s="1" t="s">
        <v>31</v>
      </c>
    </row>
    <row r="35" customFormat="false" ht="12.75" hidden="false" customHeight="false" outlineLevel="0" collapsed="false">
      <c r="B35" s="1" t="s">
        <v>32</v>
      </c>
    </row>
    <row r="36" customFormat="false" ht="12.75" hidden="false" customHeight="false" outlineLevel="0" collapsed="false">
      <c r="B36" s="1" t="s">
        <v>33</v>
      </c>
    </row>
    <row r="38" customFormat="false" ht="12.75" hidden="false" customHeight="false" outlineLevel="0" collapsed="false">
      <c r="B38" s="1" t="s">
        <v>34</v>
      </c>
    </row>
    <row r="39" customFormat="false" ht="12.75" hidden="false" customHeight="false" outlineLevel="0" collapsed="false">
      <c r="B39" s="1" t="s">
        <v>35</v>
      </c>
    </row>
    <row r="40" customFormat="false" ht="12.75" hidden="false" customHeight="false" outlineLevel="0" collapsed="false">
      <c r="B40" s="1" t="s">
        <v>36</v>
      </c>
    </row>
    <row r="41" customFormat="false" ht="12.75" hidden="false" customHeight="false" outlineLevel="0" collapsed="false">
      <c r="B41" s="1" t="s">
        <v>37</v>
      </c>
    </row>
    <row r="42" customFormat="false" ht="12.75" hidden="false" customHeight="false" outlineLevel="0" collapsed="false">
      <c r="B42" s="1" t="s">
        <v>38</v>
      </c>
    </row>
    <row r="43" customFormat="false" ht="12.75" hidden="false" customHeight="false" outlineLevel="0" collapsed="false">
      <c r="B43" s="1" t="s">
        <v>39</v>
      </c>
    </row>
    <row r="44" customFormat="false" ht="12.75" hidden="false" customHeight="false" outlineLevel="0" collapsed="false">
      <c r="B44" s="1" t="s">
        <v>40</v>
      </c>
    </row>
    <row r="46" customFormat="false" ht="12.75" hidden="false" customHeight="false" outlineLevel="0" collapsed="false">
      <c r="B46" s="1" t="s">
        <v>41</v>
      </c>
    </row>
    <row r="48" customFormat="false" ht="12.75" hidden="false" customHeight="false" outlineLevel="0" collapsed="false">
      <c r="A48" s="7" t="s">
        <v>19</v>
      </c>
      <c r="B48" s="1" t="s">
        <v>42</v>
      </c>
    </row>
    <row r="49" customFormat="false" ht="12.75" hidden="false" customHeight="false" outlineLevel="0" collapsed="false">
      <c r="B49" s="1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8"/>
  <sheetViews>
    <sheetView showFormulas="false" showGridLines="false" showRowColHeaders="true" showZeros="true" rightToLeft="false" tabSelected="false" showOutlineSymbols="true" defaultGridColor="true" view="normal" topLeftCell="A27" colorId="64" zoomScale="75" zoomScaleNormal="75" zoomScalePageLayoutView="100" workbookViewId="0">
      <selection pane="topLeft" activeCell="H48" activeCellId="0" sqref="H48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38.85"/>
    <col collapsed="false" customWidth="true" hidden="true" outlineLevel="1" max="2" min="2" style="0" width="7.85"/>
    <col collapsed="false" customWidth="true" hidden="true" outlineLevel="1" max="3" min="3" style="0" width="6.7"/>
    <col collapsed="false" customWidth="true" hidden="false" outlineLevel="0" max="5" min="4" style="449" width="14.56"/>
    <col collapsed="false" customWidth="true" hidden="false" outlineLevel="0" max="6" min="6" style="449" width="15.7"/>
    <col collapsed="false" customWidth="true" hidden="false" outlineLevel="0" max="7" min="7" style="0" width="16.84"/>
    <col collapsed="false" customWidth="true" hidden="false" outlineLevel="0" max="9" min="8" style="0" width="14.99"/>
    <col collapsed="false" customWidth="true" hidden="false" outlineLevel="0" max="11" min="10" style="0" width="14.56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6" min="15" style="0" width="12.28"/>
    <col collapsed="false" customWidth="true" hidden="false" outlineLevel="0" max="18" min="17" style="0" width="14.56"/>
  </cols>
  <sheetData>
    <row r="1" customFormat="false" ht="20.25" hidden="false" customHeight="false" outlineLevel="0" collapsed="false">
      <c r="A1" s="606" t="str">
        <f aca="false">"Project "&amp;Assumptions!D7</f>
        <v>Project Wolverine</v>
      </c>
      <c r="B1" s="17"/>
      <c r="C1" s="17"/>
      <c r="D1" s="375"/>
      <c r="E1" s="375"/>
      <c r="F1" s="65" t="s">
        <v>50</v>
      </c>
      <c r="G1" s="607"/>
      <c r="H1" s="608"/>
    </row>
    <row r="2" customFormat="false" ht="15.75" hidden="false" customHeight="false" outlineLevel="0" collapsed="false">
      <c r="A2" s="609" t="str">
        <f aca="false">'Org Chart'!B5</f>
        <v>Panhandle Eastern</v>
      </c>
      <c r="B2" s="610"/>
      <c r="C2" s="17"/>
      <c r="D2" s="611"/>
      <c r="E2" s="611"/>
      <c r="F2" s="612"/>
      <c r="G2" s="138"/>
      <c r="H2" s="613"/>
      <c r="I2" s="138"/>
      <c r="R2" s="449"/>
    </row>
    <row r="3" customFormat="false" ht="16.5" hidden="false" customHeight="false" outlineLevel="0" collapsed="false">
      <c r="A3" s="614" t="s">
        <v>294</v>
      </c>
      <c r="B3" s="610"/>
      <c r="C3" s="17"/>
      <c r="D3" s="611"/>
      <c r="E3" s="611"/>
      <c r="F3" s="612"/>
      <c r="G3" s="17"/>
      <c r="H3" s="613"/>
      <c r="I3" s="138"/>
      <c r="R3" s="449"/>
    </row>
    <row r="4" customFormat="false" ht="13.5" hidden="false" customHeight="false" outlineLevel="0" collapsed="false">
      <c r="A4" s="615"/>
      <c r="B4" s="610"/>
      <c r="D4" s="611"/>
      <c r="E4" s="611"/>
      <c r="F4" s="616"/>
      <c r="G4" s="617"/>
      <c r="H4" s="618"/>
      <c r="I4" s="138"/>
      <c r="R4" s="449"/>
    </row>
    <row r="5" customFormat="false" ht="12.75" hidden="false" customHeight="false" outlineLevel="0" collapsed="false">
      <c r="A5" s="615"/>
      <c r="B5" s="610"/>
      <c r="D5" s="611"/>
      <c r="E5" s="611"/>
      <c r="F5" s="83"/>
      <c r="G5" s="138"/>
      <c r="H5" s="138"/>
      <c r="I5" s="138"/>
      <c r="R5" s="449"/>
    </row>
    <row r="6" customFormat="false" ht="15.75" hidden="false" customHeight="false" outlineLevel="0" collapsed="false">
      <c r="A6" s="497" t="s">
        <v>295</v>
      </c>
      <c r="B6" s="498"/>
      <c r="C6" s="131"/>
      <c r="D6" s="499"/>
      <c r="E6" s="499"/>
      <c r="F6" s="131"/>
      <c r="G6" s="500"/>
      <c r="H6" s="500"/>
      <c r="I6" s="500"/>
      <c r="J6" s="131"/>
      <c r="K6" s="131"/>
      <c r="L6" s="131"/>
      <c r="M6" s="131"/>
      <c r="N6" s="131"/>
      <c r="O6" s="131"/>
      <c r="P6" s="131"/>
      <c r="Q6" s="131"/>
      <c r="R6" s="503"/>
    </row>
    <row r="7" customFormat="false" ht="12.75" hidden="false" customHeight="false" outlineLevel="0" collapsed="false">
      <c r="D7" s="505"/>
      <c r="E7" s="505"/>
      <c r="F7" s="295"/>
      <c r="G7" s="306" t="s">
        <v>192</v>
      </c>
      <c r="H7" s="307"/>
      <c r="I7" s="295"/>
      <c r="J7" s="295"/>
      <c r="K7" s="176"/>
      <c r="L7" s="295"/>
      <c r="M7" s="176"/>
      <c r="N7" s="176"/>
      <c r="O7" s="176"/>
      <c r="P7" s="176"/>
      <c r="Q7" s="103"/>
      <c r="R7" s="619"/>
      <c r="S7" s="619"/>
    </row>
    <row r="8" customFormat="false" ht="12.75" hidden="false" customHeight="false" outlineLevel="0" collapsed="false">
      <c r="D8" s="620" t="n">
        <v>36160</v>
      </c>
      <c r="E8" s="620" t="n">
        <v>36525</v>
      </c>
      <c r="F8" s="620" t="n">
        <v>36891</v>
      </c>
      <c r="G8" s="620" t="n">
        <v>37256</v>
      </c>
      <c r="H8" s="620" t="n">
        <v>37621</v>
      </c>
      <c r="I8" s="620" t="n">
        <v>37986</v>
      </c>
      <c r="J8" s="620" t="n">
        <v>38352</v>
      </c>
      <c r="K8" s="620" t="n">
        <v>38717</v>
      </c>
      <c r="L8" s="620" t="n">
        <v>39082</v>
      </c>
      <c r="M8" s="620" t="n">
        <v>39447</v>
      </c>
      <c r="N8" s="620" t="n">
        <v>39813</v>
      </c>
      <c r="O8" s="620" t="n">
        <v>40178</v>
      </c>
      <c r="P8" s="620" t="n">
        <v>40543</v>
      </c>
      <c r="Q8" s="620" t="n">
        <v>40908</v>
      </c>
      <c r="R8" s="95"/>
      <c r="S8" s="95"/>
    </row>
    <row r="9" customFormat="false" ht="12.75" hidden="false" customHeight="false" outlineLevel="0" collapsed="false">
      <c r="F9" s="312" t="s">
        <v>193</v>
      </c>
      <c r="G9" s="308" t="n">
        <v>1</v>
      </c>
      <c r="H9" s="309" t="n">
        <v>2</v>
      </c>
      <c r="I9" s="309" t="n">
        <v>3</v>
      </c>
      <c r="J9" s="309" t="n">
        <v>4</v>
      </c>
      <c r="K9" s="309" t="n">
        <v>5</v>
      </c>
      <c r="L9" s="309" t="n">
        <v>6</v>
      </c>
      <c r="M9" s="309" t="n">
        <v>7</v>
      </c>
      <c r="N9" s="309" t="n">
        <v>8</v>
      </c>
      <c r="O9" s="309" t="n">
        <v>9</v>
      </c>
      <c r="P9" s="309" t="n">
        <v>10</v>
      </c>
      <c r="Q9" s="387" t="n">
        <v>11</v>
      </c>
      <c r="R9" s="95"/>
      <c r="S9" s="95"/>
    </row>
    <row r="10" customFormat="false" ht="12.75" hidden="false" customHeight="false" outlineLevel="0" collapsed="false">
      <c r="D10" s="611"/>
      <c r="E10" s="611"/>
      <c r="F10" s="95"/>
      <c r="G10" s="554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449"/>
    </row>
    <row r="11" customFormat="false" ht="12.75" hidden="false" customHeight="false" outlineLevel="0" collapsed="false">
      <c r="A11" s="621" t="str">
        <f aca="false">'Pipeline Co IS'!A17</f>
        <v>TOTAL OPERATING REVENUE</v>
      </c>
      <c r="B11" s="622"/>
      <c r="C11" s="623"/>
      <c r="D11" s="624" t="n">
        <f aca="false">'Pipeline Co IS'!D17</f>
        <v>496000</v>
      </c>
      <c r="E11" s="624" t="n">
        <f aca="false">'Pipeline Co IS'!E17</f>
        <v>471000</v>
      </c>
      <c r="F11" s="624" t="n">
        <f aca="false">'Pipeline Co IS'!F17</f>
        <v>483000</v>
      </c>
      <c r="G11" s="624" t="n">
        <f aca="false">'Pipeline Co IS'!G17</f>
        <v>540000</v>
      </c>
      <c r="H11" s="625" t="n">
        <f aca="false">'Pipeline Co IS'!H17</f>
        <v>546740</v>
      </c>
      <c r="I11" s="625" t="n">
        <f aca="false">'Pipeline Co IS'!I17</f>
        <v>553577.8</v>
      </c>
      <c r="J11" s="625" t="n">
        <f aca="false">'Pipeline Co IS'!J17</f>
        <v>560515.094</v>
      </c>
      <c r="K11" s="625" t="n">
        <f aca="false">'Pipeline Co IS'!K17</f>
        <v>567553.6105</v>
      </c>
      <c r="L11" s="625" t="n">
        <f aca="false">'Pipeline Co IS'!L17</f>
        <v>574695.1132934</v>
      </c>
      <c r="M11" s="625" t="n">
        <f aca="false">'Pipeline Co IS'!M17</f>
        <v>581941.402280218</v>
      </c>
      <c r="N11" s="625" t="n">
        <f aca="false">'Pipeline Co IS'!N17</f>
        <v>589294.314300649</v>
      </c>
      <c r="O11" s="625" t="n">
        <f aca="false">'Pipeline Co IS'!O17</f>
        <v>596755.723989505</v>
      </c>
      <c r="P11" s="625" t="n">
        <f aca="false">'Pipeline Co IS'!P17</f>
        <v>604327.544652082</v>
      </c>
      <c r="Q11" s="625" t="n">
        <f aca="false">'Pipeline Co IS'!Q17</f>
        <v>612011.729162031</v>
      </c>
      <c r="R11" s="449"/>
    </row>
    <row r="12" customFormat="false" ht="12.75" hidden="false" customHeight="false" outlineLevel="0" collapsed="false">
      <c r="D12" s="626"/>
      <c r="E12" s="626"/>
      <c r="F12" s="520"/>
      <c r="G12" s="627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9"/>
    </row>
    <row r="13" customFormat="false" ht="12.75" hidden="false" customHeight="false" outlineLevel="0" collapsed="false">
      <c r="A13" s="25" t="str">
        <f aca="false">'Pipeline Co IS'!A25</f>
        <v>TOTAL OPERATING EXPENSES</v>
      </c>
      <c r="B13" s="628"/>
      <c r="C13" s="17"/>
      <c r="D13" s="629" t="n">
        <f aca="false">'Pipeline Co IS'!D25</f>
        <v>213000</v>
      </c>
      <c r="E13" s="629" t="n">
        <f aca="false">'Pipeline Co IS'!E25</f>
        <v>191000</v>
      </c>
      <c r="F13" s="629" t="n">
        <f aca="false">'Pipeline Co IS'!F25</f>
        <v>211000</v>
      </c>
      <c r="G13" s="629" t="n">
        <f aca="false">'Pipeline Co IS'!G25</f>
        <v>210000</v>
      </c>
      <c r="H13" s="630" t="n">
        <f aca="false">'Pipeline Co IS'!H25</f>
        <v>215250</v>
      </c>
      <c r="I13" s="630" t="n">
        <f aca="false">'Pipeline Co IS'!I25</f>
        <v>220631.25</v>
      </c>
      <c r="J13" s="630" t="n">
        <f aca="false">'Pipeline Co IS'!J25</f>
        <v>226147.03125</v>
      </c>
      <c r="K13" s="630" t="n">
        <f aca="false">'Pipeline Co IS'!K25</f>
        <v>231800.70703125</v>
      </c>
      <c r="L13" s="630" t="n">
        <f aca="false">'Pipeline Co IS'!L25</f>
        <v>237595.724707031</v>
      </c>
      <c r="M13" s="630" t="n">
        <f aca="false">'Pipeline Co IS'!M25</f>
        <v>243535.617824707</v>
      </c>
      <c r="N13" s="630" t="n">
        <f aca="false">'Pipeline Co IS'!N25</f>
        <v>249624.008270325</v>
      </c>
      <c r="O13" s="630" t="n">
        <f aca="false">'Pipeline Co IS'!O25</f>
        <v>255864.608477083</v>
      </c>
      <c r="P13" s="630" t="n">
        <f aca="false">'Pipeline Co IS'!P25</f>
        <v>262261.22368901</v>
      </c>
      <c r="Q13" s="630" t="n">
        <f aca="false">'Pipeline Co IS'!Q25</f>
        <v>268817.754281235</v>
      </c>
      <c r="R13" s="449"/>
    </row>
    <row r="14" customFormat="false" ht="12.75" hidden="false" customHeight="false" outlineLevel="0" collapsed="false">
      <c r="A14" s="25"/>
      <c r="B14" s="628"/>
      <c r="C14" s="17"/>
      <c r="D14" s="631"/>
      <c r="E14" s="631"/>
      <c r="F14" s="631"/>
      <c r="G14" s="631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49"/>
    </row>
    <row r="15" customFormat="false" ht="12.75" hidden="false" customHeight="false" outlineLevel="0" collapsed="false">
      <c r="A15" s="371" t="str">
        <f aca="false">'Pipeline Co IS'!A31</f>
        <v>TOTAL OTHER INCOME</v>
      </c>
      <c r="D15" s="632" t="n">
        <f aca="false">'Pipeline Co IS'!D31</f>
        <v>24000</v>
      </c>
      <c r="E15" s="632" t="n">
        <f aca="false">'Pipeline Co IS'!E31</f>
        <v>6000</v>
      </c>
      <c r="F15" s="632" t="n">
        <f aca="false">'Pipeline Co IS'!F31</f>
        <v>8000</v>
      </c>
      <c r="G15" s="632" t="n">
        <f aca="false">'Pipeline Co IS'!G31</f>
        <v>8000</v>
      </c>
      <c r="H15" s="408" t="n">
        <f aca="false">'Pipeline Co IS'!H31</f>
        <v>8080</v>
      </c>
      <c r="I15" s="408" t="n">
        <f aca="false">'Pipeline Co IS'!I31</f>
        <v>8160.8</v>
      </c>
      <c r="J15" s="408" t="n">
        <f aca="false">'Pipeline Co IS'!J31</f>
        <v>8242.408</v>
      </c>
      <c r="K15" s="408" t="n">
        <f aca="false">'Pipeline Co IS'!K31</f>
        <v>8324.83208</v>
      </c>
      <c r="L15" s="408" t="n">
        <f aca="false">'Pipeline Co IS'!L31</f>
        <v>8408.0804008</v>
      </c>
      <c r="M15" s="408" t="n">
        <f aca="false">'Pipeline Co IS'!M31</f>
        <v>8492.161204808</v>
      </c>
      <c r="N15" s="408" t="n">
        <f aca="false">'Pipeline Co IS'!N31</f>
        <v>8577.08281685608</v>
      </c>
      <c r="O15" s="408" t="n">
        <f aca="false">'Pipeline Co IS'!O31</f>
        <v>8662.85364502464</v>
      </c>
      <c r="P15" s="408" t="n">
        <f aca="false">'Pipeline Co IS'!P31</f>
        <v>8749.48218147489</v>
      </c>
      <c r="Q15" s="408" t="n">
        <f aca="false">'Pipeline Co IS'!Q31</f>
        <v>8836.97700328964</v>
      </c>
      <c r="R15" s="83"/>
    </row>
    <row r="16" customFormat="false" ht="12.75" hidden="false" customHeight="false" outlineLevel="0" collapsed="false">
      <c r="A16" s="25"/>
      <c r="B16" s="628"/>
      <c r="C16" s="17"/>
      <c r="D16" s="631"/>
      <c r="E16" s="631"/>
      <c r="F16" s="631"/>
      <c r="G16" s="631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449"/>
    </row>
    <row r="17" customFormat="false" ht="13.5" hidden="false" customHeight="false" outlineLevel="0" collapsed="false">
      <c r="A17" s="25" t="s">
        <v>230</v>
      </c>
      <c r="B17" s="17"/>
      <c r="C17" s="17"/>
      <c r="D17" s="633" t="n">
        <f aca="false">(D11-D13+D15)</f>
        <v>307000</v>
      </c>
      <c r="E17" s="633" t="n">
        <f aca="false">(E11-E13+E15)</f>
        <v>286000</v>
      </c>
      <c r="F17" s="633" t="n">
        <f aca="false">(F11-F13+F15)</f>
        <v>280000</v>
      </c>
      <c r="G17" s="633" t="n">
        <f aca="false">(G11-G13+G15)</f>
        <v>338000</v>
      </c>
      <c r="H17" s="634" t="n">
        <f aca="false">(H11-H13+H15)</f>
        <v>339570</v>
      </c>
      <c r="I17" s="634" t="n">
        <f aca="false">(I11-I13+I15)</f>
        <v>341107.35</v>
      </c>
      <c r="J17" s="634" t="n">
        <f aca="false">(J11-J13+J15)</f>
        <v>342610.47075</v>
      </c>
      <c r="K17" s="634" t="n">
        <f aca="false">(K11-K13+K15)</f>
        <v>344077.73554875</v>
      </c>
      <c r="L17" s="634" t="n">
        <f aca="false">(L11-L13+L15)</f>
        <v>345507.468987169</v>
      </c>
      <c r="M17" s="634" t="n">
        <f aca="false">(M11-M13+M15)</f>
        <v>346897.945660319</v>
      </c>
      <c r="N17" s="634" t="n">
        <f aca="false">(N11-N13+N15)</f>
        <v>348247.388847181</v>
      </c>
      <c r="O17" s="634" t="n">
        <f aca="false">(O11-O13+O15)</f>
        <v>349553.969157447</v>
      </c>
      <c r="P17" s="634" t="n">
        <f aca="false">(P11-P13+P15)</f>
        <v>350815.803144547</v>
      </c>
      <c r="Q17" s="634" t="n">
        <f aca="false">(Q11-Q13+Q15)</f>
        <v>352030.951884086</v>
      </c>
      <c r="R17" s="449"/>
    </row>
    <row r="18" customFormat="false" ht="13.5" hidden="false" customHeight="false" outlineLevel="0" collapsed="false">
      <c r="D18" s="508"/>
      <c r="E18" s="508"/>
      <c r="F18" s="508"/>
      <c r="G18" s="508"/>
      <c r="R18" s="449"/>
    </row>
    <row r="19" customFormat="false" ht="12.75" hidden="false" customHeight="false" outlineLevel="0" collapsed="false">
      <c r="A19" s="115" t="str">
        <f aca="false">'Pipeline Co IS'!A35</f>
        <v>DEPRECIATION AND AMORTIZATION</v>
      </c>
      <c r="D19" s="635" t="n">
        <f aca="false">'Pipeline Co IS'!D35</f>
        <v>56000</v>
      </c>
      <c r="E19" s="635" t="n">
        <f aca="false">'Pipeline Co IS'!E35</f>
        <v>58000</v>
      </c>
      <c r="F19" s="635" t="n">
        <f aca="false">'Pipeline Co IS'!F35</f>
        <v>65000</v>
      </c>
      <c r="G19" s="635" t="n">
        <f aca="false">'Pipeline Co IS'!G35</f>
        <v>66000</v>
      </c>
      <c r="H19" s="636" t="n">
        <f aca="false">'Pipeline Co IS'!H35</f>
        <v>58440</v>
      </c>
      <c r="I19" s="636" t="n">
        <f aca="false">'Pipeline Co IS'!I35</f>
        <v>59970.15</v>
      </c>
      <c r="J19" s="636" t="n">
        <f aca="false">'Pipeline Co IS'!J35</f>
        <v>61515.6015</v>
      </c>
      <c r="K19" s="636" t="n">
        <f aca="false">'Pipeline Co IS'!K35</f>
        <v>63076.507515</v>
      </c>
      <c r="L19" s="636" t="n">
        <f aca="false">'Pipeline Co IS'!L35</f>
        <v>64653.02259015</v>
      </c>
      <c r="M19" s="636" t="n">
        <f aca="false">'Pipeline Co IS'!M35</f>
        <v>66245.3028160515</v>
      </c>
      <c r="N19" s="636" t="n">
        <f aca="false">'Pipeline Co IS'!N35</f>
        <v>67853.505844212</v>
      </c>
      <c r="O19" s="636" t="n">
        <f aca="false">'Pipeline Co IS'!O35</f>
        <v>69477.7909026541</v>
      </c>
      <c r="P19" s="636" t="n">
        <f aca="false">'Pipeline Co IS'!P35</f>
        <v>71118.3188116807</v>
      </c>
      <c r="Q19" s="636" t="n">
        <f aca="false">'Pipeline Co IS'!Q35</f>
        <v>72775.2519997975</v>
      </c>
      <c r="R19" s="449"/>
    </row>
    <row r="20" customFormat="false" ht="12.75" hidden="false" customHeight="false" outlineLevel="0" collapsed="false">
      <c r="D20" s="508"/>
      <c r="E20" s="508"/>
      <c r="F20" s="508"/>
      <c r="G20" s="508"/>
      <c r="R20" s="449"/>
    </row>
    <row r="21" customFormat="false" ht="13.5" hidden="false" customHeight="false" outlineLevel="0" collapsed="false">
      <c r="A21" s="371" t="s">
        <v>233</v>
      </c>
      <c r="D21" s="637" t="n">
        <f aca="false">D17-D19</f>
        <v>251000</v>
      </c>
      <c r="E21" s="637" t="n">
        <f aca="false">E17-E19</f>
        <v>228000</v>
      </c>
      <c r="F21" s="637" t="n">
        <f aca="false">F17-F19</f>
        <v>215000</v>
      </c>
      <c r="G21" s="637" t="n">
        <f aca="false">G17-G19</f>
        <v>272000</v>
      </c>
      <c r="H21" s="638" t="n">
        <f aca="false">H17-H19</f>
        <v>281130</v>
      </c>
      <c r="I21" s="638" t="n">
        <f aca="false">I17-I19</f>
        <v>281137.2</v>
      </c>
      <c r="J21" s="638" t="n">
        <f aca="false">J17-J19</f>
        <v>281094.86925</v>
      </c>
      <c r="K21" s="638" t="n">
        <f aca="false">K17-K19</f>
        <v>281001.22803375</v>
      </c>
      <c r="L21" s="638" t="n">
        <f aca="false">L17-L19</f>
        <v>280854.446397019</v>
      </c>
      <c r="M21" s="638" t="n">
        <f aca="false">M17-M19</f>
        <v>280652.642844268</v>
      </c>
      <c r="N21" s="638" t="n">
        <f aca="false">N17-N19</f>
        <v>280393.883002969</v>
      </c>
      <c r="O21" s="638" t="n">
        <f aca="false">O17-O19</f>
        <v>280076.178254793</v>
      </c>
      <c r="P21" s="638" t="n">
        <f aca="false">P17-P19</f>
        <v>279697.484332867</v>
      </c>
      <c r="Q21" s="638" t="n">
        <f aca="false">Q17-Q19</f>
        <v>279255.699884288</v>
      </c>
      <c r="R21" s="449"/>
    </row>
    <row r="22" customFormat="false" ht="13.5" hidden="false" customHeight="false" outlineLevel="0" collapsed="false">
      <c r="D22" s="508"/>
      <c r="E22" s="508"/>
      <c r="F22" s="508"/>
      <c r="G22" s="508"/>
      <c r="R22" s="449"/>
    </row>
    <row r="23" customFormat="false" ht="12.75" hidden="false" customHeight="false" outlineLevel="0" collapsed="false">
      <c r="A23" s="371" t="str">
        <f aca="false">'Pipeline Co IS'!A44</f>
        <v>TOTAL INTEREST EXPENSES</v>
      </c>
      <c r="D23" s="632" t="n">
        <f aca="false">'Pipeline Co IS'!D44</f>
        <v>77000</v>
      </c>
      <c r="E23" s="632" t="n">
        <f aca="false">'Pipeline Co IS'!E44</f>
        <v>78000</v>
      </c>
      <c r="F23" s="632" t="n">
        <f aca="false">'Pipeline Co IS'!F44</f>
        <v>85000</v>
      </c>
      <c r="G23" s="632" t="n">
        <f aca="false">'Pipeline Co IS'!G44</f>
        <v>84000</v>
      </c>
      <c r="H23" s="408" t="n">
        <f aca="false">'Pipeline Co IS'!H44</f>
        <v>89400</v>
      </c>
      <c r="I23" s="408" t="n">
        <f aca="false">'Pipeline Co IS'!I44</f>
        <v>80460</v>
      </c>
      <c r="J23" s="408" t="n">
        <f aca="false">'Pipeline Co IS'!J44</f>
        <v>71520</v>
      </c>
      <c r="K23" s="408" t="n">
        <f aca="false">'Pipeline Co IS'!K44</f>
        <v>62580</v>
      </c>
      <c r="L23" s="408" t="n">
        <f aca="false">'Pipeline Co IS'!L44</f>
        <v>53640</v>
      </c>
      <c r="M23" s="408" t="n">
        <f aca="false">'Pipeline Co IS'!M44</f>
        <v>44700</v>
      </c>
      <c r="N23" s="408" t="n">
        <f aca="false">'Pipeline Co IS'!N44</f>
        <v>35760</v>
      </c>
      <c r="O23" s="408" t="n">
        <f aca="false">'Pipeline Co IS'!O44</f>
        <v>26820</v>
      </c>
      <c r="P23" s="408" t="n">
        <f aca="false">'Pipeline Co IS'!P44</f>
        <v>17880</v>
      </c>
      <c r="Q23" s="408" t="n">
        <f aca="false">'Pipeline Co IS'!Q44</f>
        <v>8940</v>
      </c>
      <c r="R23" s="449"/>
    </row>
    <row r="24" customFormat="false" ht="12.75" hidden="false" customHeight="false" outlineLevel="0" collapsed="false">
      <c r="A24" s="371"/>
      <c r="D24" s="508"/>
      <c r="E24" s="508"/>
      <c r="F24" s="508"/>
      <c r="G24" s="508"/>
      <c r="R24" s="449"/>
    </row>
    <row r="25" customFormat="false" ht="13.5" hidden="false" customHeight="false" outlineLevel="0" collapsed="false">
      <c r="A25" s="371" t="str">
        <f aca="false">'Pipeline Co IS'!A46</f>
        <v>NET INCOME BEFORE INCOME TAXES</v>
      </c>
      <c r="D25" s="637" t="n">
        <f aca="false">D21+D15-D23</f>
        <v>198000</v>
      </c>
      <c r="E25" s="637" t="n">
        <f aca="false">E21+E15-E23</f>
        <v>156000</v>
      </c>
      <c r="F25" s="637" t="n">
        <f aca="false">F21+F15-F23</f>
        <v>138000</v>
      </c>
      <c r="G25" s="637" t="n">
        <f aca="false">G21+G15-G23</f>
        <v>196000</v>
      </c>
      <c r="H25" s="638" t="n">
        <f aca="false">H21+H15-H23</f>
        <v>199810</v>
      </c>
      <c r="I25" s="638" t="n">
        <f aca="false">I21+I15-I23</f>
        <v>208838</v>
      </c>
      <c r="J25" s="638" t="n">
        <f aca="false">J21+J15-J23</f>
        <v>217817.27725</v>
      </c>
      <c r="K25" s="638" t="n">
        <f aca="false">K21+K15-K23</f>
        <v>226746.06011375</v>
      </c>
      <c r="L25" s="638" t="n">
        <f aca="false">L21+L15-L23</f>
        <v>235622.526797819</v>
      </c>
      <c r="M25" s="638" t="n">
        <f aca="false">M21+M15-M23</f>
        <v>244444.804049076</v>
      </c>
      <c r="N25" s="638" t="n">
        <f aca="false">N21+N15-N23</f>
        <v>253210.965819825</v>
      </c>
      <c r="O25" s="638" t="n">
        <f aca="false">O21+O15-O23</f>
        <v>261919.031899818</v>
      </c>
      <c r="P25" s="638" t="n">
        <f aca="false">P21+P15-P23</f>
        <v>270566.966514342</v>
      </c>
      <c r="Q25" s="638" t="n">
        <f aca="false">Q21+Q15-Q23</f>
        <v>279152.676887578</v>
      </c>
      <c r="R25" s="449"/>
    </row>
    <row r="26" customFormat="false" ht="13.5" hidden="false" customHeight="false" outlineLevel="0" collapsed="false">
      <c r="A26" s="371"/>
      <c r="D26" s="508"/>
      <c r="E26" s="508"/>
      <c r="F26" s="508"/>
      <c r="G26" s="508"/>
      <c r="R26" s="449"/>
    </row>
    <row r="27" customFormat="false" ht="12.75" hidden="false" customHeight="false" outlineLevel="0" collapsed="false">
      <c r="A27" s="371" t="str">
        <f aca="false">'Pipeline Co IS'!A53</f>
        <v>TOTAL TAXES</v>
      </c>
      <c r="D27" s="629" t="n">
        <f aca="false">'Pipeline Co IS'!D53</f>
        <v>83000</v>
      </c>
      <c r="E27" s="629" t="n">
        <f aca="false">'Pipeline Co IS'!E53</f>
        <v>76000</v>
      </c>
      <c r="F27" s="629" t="n">
        <f aca="false">'Pipeline Co IS'!F53</f>
        <v>66000</v>
      </c>
      <c r="G27" s="629" t="n">
        <f aca="false">'Pipeline Co IS'!G53</f>
        <v>92000</v>
      </c>
      <c r="H27" s="630" t="n">
        <f aca="false">'Pipeline Co IS'!H53</f>
        <v>73816.05</v>
      </c>
      <c r="I27" s="630" t="n">
        <f aca="false">'Pipeline Co IS'!I53</f>
        <v>77260.722</v>
      </c>
      <c r="J27" s="630" t="n">
        <f aca="false">'Pipeline Co IS'!J53</f>
        <v>80686.3246612501</v>
      </c>
      <c r="K27" s="630" t="n">
        <f aca="false">'Pipeline Co IS'!K53</f>
        <v>84092.1727929938</v>
      </c>
      <c r="L27" s="630" t="n">
        <f aca="false">'Pipeline Co IS'!L53</f>
        <v>87477.5618628522</v>
      </c>
      <c r="M27" s="630" t="n">
        <f aca="false">'Pipeline Co IS'!M53</f>
        <v>90841.7674950431</v>
      </c>
      <c r="N27" s="630" t="n">
        <f aca="false">'Pipeline Co IS'!N53</f>
        <v>94184.044956143</v>
      </c>
      <c r="O27" s="630" t="n">
        <f aca="false">'Pipeline Co IS'!O53</f>
        <v>97503.6286280954</v>
      </c>
      <c r="P27" s="630" t="n">
        <f aca="false">'Pipeline Co IS'!P53</f>
        <v>100799.731468154</v>
      </c>
      <c r="Q27" s="630" t="n">
        <f aca="false">'Pipeline Co IS'!Q53</f>
        <v>104071.544455451</v>
      </c>
      <c r="R27" s="449"/>
    </row>
    <row r="28" customFormat="false" ht="12.75" hidden="false" customHeight="false" outlineLevel="0" collapsed="false">
      <c r="A28" s="371"/>
      <c r="D28" s="508"/>
      <c r="E28" s="508"/>
      <c r="F28" s="508"/>
      <c r="G28" s="508"/>
      <c r="R28" s="449"/>
    </row>
    <row r="29" customFormat="false" ht="13.5" hidden="false" customHeight="false" outlineLevel="0" collapsed="false">
      <c r="A29" s="371" t="s">
        <v>237</v>
      </c>
      <c r="D29" s="637" t="n">
        <f aca="false">D25-D27</f>
        <v>115000</v>
      </c>
      <c r="E29" s="637" t="n">
        <f aca="false">E25-E27</f>
        <v>80000</v>
      </c>
      <c r="F29" s="637" t="n">
        <f aca="false">F25-F27</f>
        <v>72000</v>
      </c>
      <c r="G29" s="637" t="n">
        <f aca="false">G25-G27</f>
        <v>104000</v>
      </c>
      <c r="H29" s="638" t="n">
        <f aca="false">H25-H27</f>
        <v>125993.95</v>
      </c>
      <c r="I29" s="638" t="n">
        <f aca="false">I25-I27</f>
        <v>131577.278</v>
      </c>
      <c r="J29" s="638" t="n">
        <f aca="false">J25-J27</f>
        <v>137130.95258875</v>
      </c>
      <c r="K29" s="638" t="n">
        <f aca="false">K25-K27</f>
        <v>142653.887320756</v>
      </c>
      <c r="L29" s="638" t="n">
        <f aca="false">L25-L27</f>
        <v>148144.964934967</v>
      </c>
      <c r="M29" s="638" t="n">
        <f aca="false">M25-M27</f>
        <v>153603.036554033</v>
      </c>
      <c r="N29" s="638" t="n">
        <f aca="false">N25-N27</f>
        <v>159026.920863682</v>
      </c>
      <c r="O29" s="638" t="n">
        <f aca="false">O25-O27</f>
        <v>164415.403271722</v>
      </c>
      <c r="P29" s="638" t="n">
        <f aca="false">P25-P27</f>
        <v>169767.235046188</v>
      </c>
      <c r="Q29" s="638" t="n">
        <f aca="false">Q25-Q27</f>
        <v>175081.132432127</v>
      </c>
      <c r="R29" s="449"/>
    </row>
    <row r="30" customFormat="false" ht="13.5" hidden="false" customHeight="false" outlineLevel="0" collapsed="false">
      <c r="A30" s="371"/>
      <c r="D30" s="508"/>
      <c r="E30" s="508"/>
      <c r="F30" s="508"/>
      <c r="G30" s="508"/>
      <c r="R30" s="449"/>
    </row>
    <row r="31" customFormat="false" ht="12.75" hidden="false" customHeight="false" outlineLevel="0" collapsed="false">
      <c r="A31" s="371" t="s">
        <v>296</v>
      </c>
      <c r="D31" s="635"/>
      <c r="E31" s="635"/>
      <c r="F31" s="635"/>
      <c r="G31" s="635"/>
      <c r="H31" s="639"/>
      <c r="I31" s="639"/>
      <c r="J31" s="639"/>
      <c r="K31" s="639"/>
      <c r="L31" s="639"/>
      <c r="M31" s="639"/>
      <c r="N31" s="639"/>
      <c r="O31" s="639"/>
      <c r="P31" s="639"/>
      <c r="Q31" s="639"/>
      <c r="R31" s="449"/>
    </row>
    <row r="32" customFormat="false" ht="12.75" hidden="false" customHeight="false" outlineLevel="0" collapsed="false">
      <c r="A32" s="160" t="s">
        <v>233</v>
      </c>
      <c r="D32" s="635" t="n">
        <f aca="false">D21</f>
        <v>251000</v>
      </c>
      <c r="E32" s="635" t="n">
        <f aca="false">E21</f>
        <v>228000</v>
      </c>
      <c r="F32" s="635" t="n">
        <f aca="false">F21</f>
        <v>215000</v>
      </c>
      <c r="G32" s="635" t="n">
        <f aca="false">G21</f>
        <v>272000</v>
      </c>
      <c r="H32" s="639" t="n">
        <f aca="false">H21</f>
        <v>281130</v>
      </c>
      <c r="I32" s="639" t="n">
        <f aca="false">I21</f>
        <v>281137.2</v>
      </c>
      <c r="J32" s="639" t="n">
        <f aca="false">J21</f>
        <v>281094.86925</v>
      </c>
      <c r="K32" s="639" t="n">
        <f aca="false">K21</f>
        <v>281001.22803375</v>
      </c>
      <c r="L32" s="639" t="n">
        <f aca="false">L21</f>
        <v>280854.446397019</v>
      </c>
      <c r="M32" s="639" t="n">
        <f aca="false">M21</f>
        <v>280652.642844268</v>
      </c>
      <c r="N32" s="639" t="n">
        <f aca="false">N21</f>
        <v>280393.883002969</v>
      </c>
      <c r="O32" s="639" t="n">
        <f aca="false">O21</f>
        <v>280076.178254793</v>
      </c>
      <c r="P32" s="639" t="n">
        <f aca="false">P21</f>
        <v>279697.484332867</v>
      </c>
      <c r="Q32" s="639" t="n">
        <f aca="false">Q21</f>
        <v>279255.699884288</v>
      </c>
    </row>
    <row r="33" customFormat="false" ht="12.75" hidden="false" customHeight="false" outlineLevel="0" collapsed="false">
      <c r="A33" s="160" t="s">
        <v>297</v>
      </c>
      <c r="D33" s="635" t="n">
        <f aca="false">D27</f>
        <v>83000</v>
      </c>
      <c r="E33" s="635" t="n">
        <f aca="false">E27</f>
        <v>76000</v>
      </c>
      <c r="F33" s="635" t="n">
        <f aca="false">F27</f>
        <v>66000</v>
      </c>
      <c r="G33" s="635" t="n">
        <f aca="false">G27</f>
        <v>92000</v>
      </c>
      <c r="H33" s="639" t="n">
        <f aca="false">H27</f>
        <v>73816.05</v>
      </c>
      <c r="I33" s="639" t="n">
        <f aca="false">I27</f>
        <v>77260.722</v>
      </c>
      <c r="J33" s="639" t="n">
        <f aca="false">J27</f>
        <v>80686.3246612501</v>
      </c>
      <c r="K33" s="639" t="n">
        <f aca="false">K27</f>
        <v>84092.1727929938</v>
      </c>
      <c r="L33" s="639" t="n">
        <f aca="false">L27</f>
        <v>87477.5618628522</v>
      </c>
      <c r="M33" s="639" t="n">
        <f aca="false">M27</f>
        <v>90841.7674950431</v>
      </c>
      <c r="N33" s="639" t="n">
        <f aca="false">N27</f>
        <v>94184.044956143</v>
      </c>
      <c r="O33" s="639" t="n">
        <f aca="false">O27</f>
        <v>97503.6286280954</v>
      </c>
      <c r="P33" s="639" t="n">
        <f aca="false">P27</f>
        <v>100799.731468154</v>
      </c>
      <c r="Q33" s="639" t="n">
        <f aca="false">Q27</f>
        <v>104071.544455451</v>
      </c>
    </row>
    <row r="34" customFormat="false" ht="12.75" hidden="false" customHeight="false" outlineLevel="0" collapsed="false">
      <c r="A34" s="160" t="s">
        <v>298</v>
      </c>
      <c r="D34" s="635"/>
      <c r="E34" s="635"/>
      <c r="F34" s="635"/>
      <c r="G34" s="635"/>
      <c r="H34" s="639"/>
      <c r="I34" s="639"/>
      <c r="J34" s="639"/>
      <c r="K34" s="639"/>
      <c r="L34" s="639"/>
      <c r="M34" s="639"/>
      <c r="N34" s="639"/>
      <c r="O34" s="639"/>
      <c r="P34" s="639"/>
      <c r="Q34" s="639"/>
    </row>
    <row r="35" customFormat="false" ht="12.75" hidden="false" customHeight="false" outlineLevel="0" collapsed="false">
      <c r="A35" s="160" t="s">
        <v>299</v>
      </c>
      <c r="D35" s="635" t="n">
        <f aca="false">D19</f>
        <v>56000</v>
      </c>
      <c r="E35" s="635" t="n">
        <f aca="false">E19</f>
        <v>58000</v>
      </c>
      <c r="F35" s="635" t="n">
        <f aca="false">F19</f>
        <v>65000</v>
      </c>
      <c r="G35" s="635" t="n">
        <f aca="false">G19</f>
        <v>66000</v>
      </c>
      <c r="H35" s="639" t="n">
        <f aca="false">H19</f>
        <v>58440</v>
      </c>
      <c r="I35" s="639" t="n">
        <f aca="false">I19</f>
        <v>59970.15</v>
      </c>
      <c r="J35" s="639" t="n">
        <f aca="false">J19</f>
        <v>61515.6015</v>
      </c>
      <c r="K35" s="639" t="n">
        <f aca="false">K19</f>
        <v>63076.507515</v>
      </c>
      <c r="L35" s="639" t="n">
        <f aca="false">L19</f>
        <v>64653.02259015</v>
      </c>
      <c r="M35" s="639" t="n">
        <f aca="false">M19</f>
        <v>66245.3028160515</v>
      </c>
      <c r="N35" s="639" t="n">
        <f aca="false">N19</f>
        <v>67853.505844212</v>
      </c>
      <c r="O35" s="639" t="n">
        <f aca="false">O19</f>
        <v>69477.7909026541</v>
      </c>
      <c r="P35" s="639" t="n">
        <f aca="false">P19</f>
        <v>71118.3188116807</v>
      </c>
      <c r="Q35" s="639" t="n">
        <f aca="false">Q19</f>
        <v>72775.2519997975</v>
      </c>
      <c r="R35" s="640" t="s">
        <v>300</v>
      </c>
    </row>
    <row r="36" customFormat="false" ht="12.75" hidden="false" customHeight="false" outlineLevel="0" collapsed="false">
      <c r="A36" s="160" t="s">
        <v>301</v>
      </c>
      <c r="D36" s="635" t="n">
        <f aca="false">'Pipeline Co CF'!D29</f>
        <v>4000</v>
      </c>
      <c r="E36" s="635" t="n">
        <f aca="false">'Pipeline Co CF'!E29</f>
        <v>22000</v>
      </c>
      <c r="F36" s="635" t="n">
        <f aca="false">'Pipeline Co CF'!F29</f>
        <v>-35000</v>
      </c>
      <c r="G36" s="635" t="n">
        <f aca="false">'Pipeline Co CF'!I29</f>
        <v>0</v>
      </c>
      <c r="H36" s="639" t="n">
        <f aca="false">'Pipeline Co CF'!J29</f>
        <v>-31785.5616438356</v>
      </c>
      <c r="I36" s="639" t="n">
        <f aca="false">'Pipeline Co CF'!K29</f>
        <v>-1815.7097260274</v>
      </c>
      <c r="J36" s="639" t="n">
        <f aca="false">'Pipeline Co CF'!L29</f>
        <v>-1840.77953219182</v>
      </c>
      <c r="K36" s="639" t="n">
        <f aca="false">'Pipeline Co CF'!M29</f>
        <v>-1866.25827660617</v>
      </c>
      <c r="L36" s="639" t="n">
        <f aca="false">'Pipeline Co CF'!N29</f>
        <v>-1892.15389596731</v>
      </c>
      <c r="M36" s="639" t="n">
        <f aca="false">'Pipeline Co CF'!O29</f>
        <v>-1918.47450583395</v>
      </c>
      <c r="N36" s="639" t="n">
        <f aca="false">'Pipeline Co CF'!P29</f>
        <v>-1945.22840513325</v>
      </c>
      <c r="O36" s="639" t="n">
        <f aca="false">'Pipeline Co CF'!Q29</f>
        <v>-1972.42408079047</v>
      </c>
      <c r="P36" s="639" t="n">
        <f aca="false">'Pipeline Co CF'!R29</f>
        <v>-2000.07021248433</v>
      </c>
      <c r="Q36" s="639" t="n">
        <f aca="false">'Pipeline Co CF'!S29</f>
        <v>-2028.17567753213</v>
      </c>
      <c r="R36" s="640" t="s">
        <v>230</v>
      </c>
    </row>
    <row r="37" customFormat="false" ht="12.75" hidden="false" customHeight="false" outlineLevel="0" collapsed="false">
      <c r="A37" s="160" t="s">
        <v>302</v>
      </c>
      <c r="D37" s="635" t="n">
        <f aca="false">'Pipeline Co CF'!D34</f>
        <v>-85000</v>
      </c>
      <c r="E37" s="635" t="n">
        <f aca="false">'Pipeline Co CF'!E34</f>
        <v>-57000</v>
      </c>
      <c r="F37" s="635" t="n">
        <f aca="false">'Pipeline Co CF'!F34</f>
        <v>-129000</v>
      </c>
      <c r="G37" s="635" t="n">
        <f aca="false">'Pipeline Co CF'!I34</f>
        <v>-60000</v>
      </c>
      <c r="H37" s="639" t="n">
        <f aca="false">'Pipeline Co CF'!J34</f>
        <v>-60600</v>
      </c>
      <c r="I37" s="639" t="n">
        <f aca="false">'Pipeline Co CF'!K34</f>
        <v>-61206</v>
      </c>
      <c r="J37" s="639" t="n">
        <f aca="false">'Pipeline Co CF'!L34</f>
        <v>-61818.06</v>
      </c>
      <c r="K37" s="639" t="n">
        <f aca="false">'Pipeline Co CF'!M34</f>
        <v>-62436.2406</v>
      </c>
      <c r="L37" s="639" t="n">
        <f aca="false">'Pipeline Co CF'!N34</f>
        <v>-63060.603006</v>
      </c>
      <c r="M37" s="639" t="n">
        <f aca="false">'Pipeline Co CF'!O34</f>
        <v>-63691.20903606</v>
      </c>
      <c r="N37" s="639" t="n">
        <f aca="false">'Pipeline Co CF'!P34</f>
        <v>-64328.1211264206</v>
      </c>
      <c r="O37" s="639" t="n">
        <f aca="false">'Pipeline Co CF'!Q34</f>
        <v>-64971.4023376848</v>
      </c>
      <c r="P37" s="639" t="n">
        <f aca="false">'Pipeline Co CF'!R34</f>
        <v>-65621.1163610617</v>
      </c>
      <c r="Q37" s="639" t="n">
        <f aca="false">'Pipeline Co CF'!S34</f>
        <v>-66277.3275246723</v>
      </c>
      <c r="R37" s="640" t="s">
        <v>303</v>
      </c>
    </row>
    <row r="38" customFormat="false" ht="12.75" hidden="false" customHeight="false" outlineLevel="0" collapsed="false">
      <c r="A38" s="160" t="s">
        <v>304</v>
      </c>
      <c r="D38" s="635"/>
      <c r="E38" s="635"/>
      <c r="F38" s="635" t="n">
        <f aca="false">('Pipeline Co BS'!E17+'Pipeline Co BS'!E29)-('Pipeline Co BS'!F17+'Pipeline Co BS'!F30)</f>
        <v>-19000</v>
      </c>
      <c r="G38" s="635" t="n">
        <f aca="false">('Pipeline Co BS'!F17+'Pipeline Co BS'!F29)-('Pipeline Co BS'!G17+'Pipeline Co BS'!G30)</f>
        <v>-54000</v>
      </c>
      <c r="H38" s="639" t="n">
        <f aca="false">('Pipeline Co BS'!G17+'Pipeline Co BS'!G29)-('Pipeline Co BS'!H17+'Pipeline Co BS'!H30)</f>
        <v>93000</v>
      </c>
      <c r="I38" s="639" t="n">
        <f aca="false">('Pipeline Co BS'!H17+'Pipeline Co BS'!H29)-('Pipeline Co BS'!I17+'Pipeline Co BS'!I30)</f>
        <v>0</v>
      </c>
      <c r="J38" s="639" t="n">
        <f aca="false">('Pipeline Co BS'!I17+'Pipeline Co BS'!I29)-('Pipeline Co BS'!J17+'Pipeline Co BS'!J30)</f>
        <v>-83000</v>
      </c>
      <c r="K38" s="639" t="n">
        <f aca="false">('Pipeline Co BS'!J17+'Pipeline Co BS'!J29)-('Pipeline Co BS'!K17+'Pipeline Co BS'!K30)</f>
        <v>10000</v>
      </c>
      <c r="L38" s="639" t="n">
        <f aca="false">('Pipeline Co BS'!K17+'Pipeline Co BS'!K29)-('Pipeline Co BS'!L17+'Pipeline Co BS'!L30)</f>
        <v>10000</v>
      </c>
      <c r="M38" s="639" t="n">
        <f aca="false">('Pipeline Co BS'!L17+'Pipeline Co BS'!L29)-('Pipeline Co BS'!M17+'Pipeline Co BS'!M30)</f>
        <v>10000</v>
      </c>
      <c r="N38" s="639" t="n">
        <f aca="false">('Pipeline Co BS'!M17+'Pipeline Co BS'!M29)-('Pipeline Co BS'!N17+'Pipeline Co BS'!N30)</f>
        <v>10000</v>
      </c>
      <c r="O38" s="639" t="n">
        <f aca="false">('Pipeline Co BS'!N17+'Pipeline Co BS'!N29)-('Pipeline Co BS'!O17+'Pipeline Co BS'!O30)</f>
        <v>10000</v>
      </c>
      <c r="P38" s="639" t="n">
        <f aca="false">('Pipeline Co BS'!O17+'Pipeline Co BS'!O29)-('Pipeline Co BS'!P17+'Pipeline Co BS'!P30)</f>
        <v>10000</v>
      </c>
      <c r="Q38" s="639" t="n">
        <f aca="false">('Pipeline Co BS'!P17+'Pipeline Co BS'!P29)-('Pipeline Co BS'!Q17+'Pipeline Co BS'!Q30)</f>
        <v>10000</v>
      </c>
      <c r="R38" s="641" t="n">
        <f aca="false">Assumptions!E44</f>
        <v>12</v>
      </c>
    </row>
    <row r="39" customFormat="false" ht="13.5" hidden="false" customHeight="false" outlineLevel="0" collapsed="false">
      <c r="A39" s="371" t="s">
        <v>305</v>
      </c>
      <c r="D39" s="637" t="n">
        <f aca="false">D32-D33+D34+D35+D36+D37+D38</f>
        <v>143000</v>
      </c>
      <c r="E39" s="637" t="n">
        <f aca="false">E32-E33+E34+E35+E36+E37+E38</f>
        <v>175000</v>
      </c>
      <c r="F39" s="637" t="n">
        <f aca="false">F32-F33+F34+F35+F36+F37+F38</f>
        <v>31000</v>
      </c>
      <c r="G39" s="637" t="n">
        <f aca="false">G32-G33+G34+G35+G36+G37+G38</f>
        <v>132000</v>
      </c>
      <c r="H39" s="638" t="n">
        <f aca="false">H32-H33+H34+H35+H36+H37+H38</f>
        <v>266368.388356164</v>
      </c>
      <c r="I39" s="638" t="n">
        <f aca="false">I32-I33+I34+I35+I36+I37+I38</f>
        <v>200824.918273973</v>
      </c>
      <c r="J39" s="638" t="n">
        <f aca="false">J32-J33+J34+J35+J36+J37+J38</f>
        <v>115265.306556558</v>
      </c>
      <c r="K39" s="638" t="n">
        <f aca="false">K32-K33+K34+K35+K36+K37+K38</f>
        <v>205683.06387915</v>
      </c>
      <c r="L39" s="638" t="n">
        <f aca="false">L32-L33+L34+L35+L36+L37+L38</f>
        <v>203077.150222349</v>
      </c>
      <c r="M39" s="638" t="n">
        <f aca="false">M32-M33+M34+M35+M36+M37+M38</f>
        <v>200446.494623382</v>
      </c>
      <c r="N39" s="638" t="n">
        <f aca="false">N32-N33+N34+N35+N36+N37+N38</f>
        <v>197789.994359484</v>
      </c>
      <c r="O39" s="638" t="n">
        <f aca="false">O32-O33+O34+O35+O36+O37+O38</f>
        <v>195106.514110877</v>
      </c>
      <c r="P39" s="638" t="n">
        <f aca="false">P32-P33+P34+P35+P36+P37+P38</f>
        <v>192394.885102848</v>
      </c>
      <c r="Q39" s="638" t="n">
        <f aca="false">Q32-Q33+Q34+Q35+Q36+Q37+Q38+R39</f>
        <v>4414025.32683546</v>
      </c>
      <c r="R39" s="642" t="n">
        <f aca="false">Q17*R40</f>
        <v>4224371.42260903</v>
      </c>
    </row>
    <row r="40" customFormat="false" ht="13.5" hidden="false" customHeight="false" outlineLevel="0" collapsed="false">
      <c r="A40" s="643"/>
      <c r="B40" s="17"/>
      <c r="C40" s="17"/>
      <c r="D40" s="426"/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426"/>
      <c r="Q40" s="426"/>
      <c r="R40" s="641" t="n">
        <f aca="false">Scenarios!C5</f>
        <v>12</v>
      </c>
    </row>
    <row r="41" customFormat="false" ht="12.75" hidden="false" customHeight="false" outlineLevel="0" collapsed="false">
      <c r="R41" s="644" t="s">
        <v>306</v>
      </c>
    </row>
    <row r="42" customFormat="false" ht="15" hidden="false" customHeight="false" outlineLevel="0" collapsed="false">
      <c r="F42" s="0"/>
      <c r="G42" s="645" t="s">
        <v>288</v>
      </c>
      <c r="H42" s="646" t="str">
        <f aca="false">(Assumptions!D14-1&amp;" EBITDA")</f>
        <v>2001 EBITDA</v>
      </c>
      <c r="I42" s="646" t="s">
        <v>307</v>
      </c>
      <c r="J42" s="647"/>
      <c r="K42" s="648" t="s">
        <v>308</v>
      </c>
      <c r="L42" s="648"/>
      <c r="M42" s="648"/>
      <c r="P42" s="95"/>
      <c r="Q42" s="95"/>
      <c r="R42" s="644" t="s">
        <v>309</v>
      </c>
    </row>
    <row r="43" customFormat="false" ht="15" hidden="false" customHeight="false" outlineLevel="0" collapsed="false">
      <c r="F43" s="0"/>
      <c r="G43" s="649" t="s">
        <v>290</v>
      </c>
      <c r="H43" s="650" t="s">
        <v>94</v>
      </c>
      <c r="I43" s="650" t="s">
        <v>310</v>
      </c>
      <c r="J43" s="651"/>
      <c r="K43" s="652" t="n">
        <v>0.1</v>
      </c>
      <c r="L43" s="652" t="n">
        <v>0.125</v>
      </c>
      <c r="M43" s="653" t="n">
        <v>0.15</v>
      </c>
      <c r="P43" s="95"/>
      <c r="Q43" s="95"/>
    </row>
    <row r="44" customFormat="false" ht="12.75" hidden="false" customHeight="false" outlineLevel="0" collapsed="false">
      <c r="F44" s="511" t="s">
        <v>292</v>
      </c>
      <c r="G44" s="654"/>
      <c r="H44" s="655"/>
      <c r="I44" s="655"/>
      <c r="J44" s="586"/>
      <c r="K44" s="586"/>
      <c r="L44" s="586"/>
      <c r="M44" s="656"/>
      <c r="P44" s="95"/>
      <c r="Q44" s="95"/>
    </row>
    <row r="45" customFormat="false" ht="12.75" hidden="false" customHeight="false" outlineLevel="0" collapsed="false">
      <c r="F45" s="0" t="n">
        <f aca="false">IF(ABS(G45-L45)&lt;0.05,0,1)</f>
        <v>1</v>
      </c>
      <c r="G45" s="657" t="n">
        <v>2875629.9945916</v>
      </c>
      <c r="H45" s="658" t="n">
        <f aca="false">G45/F17</f>
        <v>10.2701071235414</v>
      </c>
      <c r="I45" s="659" t="str">
        <f aca="false">Assumptions!D41</f>
        <v>ETS</v>
      </c>
      <c r="J45" s="660"/>
      <c r="K45" s="661" t="n">
        <f aca="false">NPV(K43,$H$39:$Q$39)</f>
        <v>2850358.89832573</v>
      </c>
      <c r="L45" s="661" t="n">
        <f aca="false">NPV(L43,$H$39:$Q$39,H8:Q8)</f>
        <v>2471429.73177113</v>
      </c>
      <c r="M45" s="662" t="n">
        <f aca="false">NPV(M43,$H$39:$Q$39)</f>
        <v>2048397.16872914</v>
      </c>
      <c r="P45" s="95"/>
      <c r="Q45" s="95"/>
      <c r="R45" s="95"/>
    </row>
    <row r="46" customFormat="false" ht="12.75" hidden="false" customHeight="false" outlineLevel="0" collapsed="false">
      <c r="F46" s="0"/>
      <c r="G46" s="95"/>
      <c r="H46" s="663"/>
      <c r="I46" s="663"/>
      <c r="J46" s="95"/>
      <c r="K46" s="95"/>
      <c r="L46" s="664"/>
      <c r="M46" s="95"/>
      <c r="P46" s="95"/>
      <c r="Q46" s="95"/>
      <c r="R46" s="95"/>
    </row>
    <row r="47" customFormat="false" ht="12.75" hidden="false" customHeight="false" outlineLevel="0" collapsed="false">
      <c r="F47" s="95"/>
      <c r="H47" s="95"/>
      <c r="I47" s="95"/>
      <c r="J47" s="95"/>
      <c r="K47" s="95"/>
      <c r="L47" s="95"/>
      <c r="N47" s="95"/>
      <c r="O47" s="95"/>
      <c r="P47" s="95"/>
      <c r="Q47" s="95"/>
    </row>
    <row r="48" customFormat="false" ht="12.75" hidden="false" customHeight="false" outlineLevel="0" collapsed="false">
      <c r="D48" s="95"/>
      <c r="E48" s="95"/>
      <c r="F48" s="95"/>
      <c r="G48" s="95" t="n">
        <f aca="false">Asset3PurPrice</f>
        <v>2875629.9945916</v>
      </c>
      <c r="H48" s="95"/>
      <c r="I48" s="449"/>
      <c r="J48" s="449"/>
      <c r="K48" s="449"/>
      <c r="L48" s="449"/>
      <c r="M48" s="449"/>
      <c r="N48" s="449"/>
      <c r="O48" s="449"/>
      <c r="P48" s="449"/>
      <c r="Q48" s="449"/>
    </row>
  </sheetData>
  <mergeCells count="1">
    <mergeCell ref="K42:M42"/>
  </mergeCells>
  <conditionalFormatting sqref="C11">
    <cfRule type="cellIs" priority="2" operator="notBetween" aboveAverage="0" equalAverage="0" bottom="0" percent="0" rank="0" text="" dxfId="1">
      <formula>0.25</formula>
      <formula>-0.25</formula>
    </cfRule>
  </conditionalFormatting>
  <printOptions headings="false" gridLines="false" gridLinesSet="true" horizontalCentered="false" verticalCentered="false"/>
  <pageMargins left="0.309722222222222" right="0.170138888888889" top="0.620138888888889" bottom="0.3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47" man="true" max="16383" min="0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6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1" outlineLevelCol="1"/>
  <cols>
    <col collapsed="false" customWidth="true" hidden="false" outlineLevel="0" max="1" min="1" style="0" width="42.28"/>
    <col collapsed="false" customWidth="true" hidden="false" outlineLevel="1" max="2" min="2" style="0" width="10.41"/>
    <col collapsed="false" customWidth="true" hidden="false" outlineLevel="1" max="3" min="3" style="0" width="16.28"/>
    <col collapsed="false" customWidth="true" hidden="false" outlineLevel="0" max="4" min="4" style="449" width="14.99"/>
    <col collapsed="false" customWidth="true" hidden="false" outlineLevel="0" max="5" min="5" style="449" width="14.7"/>
    <col collapsed="false" customWidth="true" hidden="false" outlineLevel="0" max="6" min="6" style="449" width="15.85"/>
    <col collapsed="false" customWidth="true" hidden="false" outlineLevel="0" max="7" min="7" style="0" width="14.99"/>
    <col collapsed="false" customWidth="true" hidden="false" outlineLevel="0" max="9" min="8" style="0" width="15.13"/>
    <col collapsed="false" customWidth="true" hidden="false" outlineLevel="0" max="10" min="10" style="0" width="14.99"/>
    <col collapsed="false" customWidth="true" hidden="false" outlineLevel="0" max="11" min="11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20.25" hidden="false" customHeight="false" outlineLevel="0" collapsed="false">
      <c r="A1" s="606" t="str">
        <f aca="false">"Project "&amp;Assumptions!D7</f>
        <v>Project Wolverine</v>
      </c>
      <c r="B1" s="17"/>
      <c r="C1" s="17"/>
      <c r="D1" s="375"/>
      <c r="E1" s="375"/>
      <c r="F1" s="665" t="s">
        <v>62</v>
      </c>
      <c r="G1" s="607"/>
      <c r="H1" s="666"/>
      <c r="I1" s="666"/>
      <c r="J1" s="608"/>
    </row>
    <row r="2" customFormat="false" ht="15.75" hidden="false" customHeight="false" outlineLevel="0" collapsed="false">
      <c r="A2" s="609" t="str">
        <f aca="false">'Org Chart'!B5</f>
        <v>Panhandle Eastern</v>
      </c>
      <c r="B2" s="610"/>
      <c r="C2" s="17"/>
      <c r="D2" s="611"/>
      <c r="E2" s="611"/>
      <c r="F2" s="612" t="str">
        <f aca="false">IF(AND(H63&gt;0.25,I63&gt;0.25,J63&gt;0.25,K63&gt;0.25,L64&gt;0.25,M64&gt;0.25,N63&gt;0.25,O63&gt;0.25,P63&gt;0.25,Q63&gt;0.25),"Revenue Growth Higher than 25%"," ")</f>
        <v> </v>
      </c>
      <c r="G2" s="138"/>
      <c r="H2" s="138"/>
      <c r="I2" s="138"/>
      <c r="J2" s="19"/>
      <c r="R2" s="449"/>
    </row>
    <row r="3" customFormat="false" ht="16.5" hidden="false" customHeight="false" outlineLevel="0" collapsed="false">
      <c r="A3" s="614" t="s">
        <v>311</v>
      </c>
      <c r="B3" s="610"/>
      <c r="C3" s="17"/>
      <c r="D3" s="611"/>
      <c r="E3" s="611"/>
      <c r="F3" s="612" t="str">
        <f aca="false">IF(AND(H63&gt;0.25,I63&gt;0.25,J63&gt;0.25,K63&gt;0.25,L64&gt;0.25,M64&gt;0.25,N63&gt;0.25,O63&gt;0.25,P63&gt;0.25,Q63&gt;0.25),"Revenue Growth Higher than 25%"," ")</f>
        <v> </v>
      </c>
      <c r="G3" s="17"/>
      <c r="H3" s="138"/>
      <c r="I3" s="138"/>
      <c r="J3" s="19"/>
      <c r="R3" s="449"/>
    </row>
    <row r="4" customFormat="false" ht="13.5" hidden="false" customHeight="false" outlineLevel="0" collapsed="false">
      <c r="A4" s="615"/>
      <c r="B4" s="610"/>
      <c r="D4" s="611"/>
      <c r="E4" s="611"/>
      <c r="F4" s="616"/>
      <c r="G4" s="617"/>
      <c r="H4" s="617"/>
      <c r="I4" s="617"/>
      <c r="J4" s="30"/>
      <c r="R4" s="449"/>
    </row>
    <row r="5" customFormat="false" ht="12.75" hidden="false" customHeight="false" outlineLevel="0" collapsed="false">
      <c r="A5" s="615"/>
      <c r="B5" s="610"/>
      <c r="D5" s="611"/>
      <c r="E5" s="611"/>
      <c r="F5" s="83"/>
      <c r="G5" s="138"/>
      <c r="H5" s="138"/>
      <c r="I5" s="138"/>
      <c r="R5" s="449"/>
    </row>
    <row r="6" customFormat="false" ht="15.75" hidden="false" customHeight="false" outlineLevel="0" collapsed="false">
      <c r="A6" s="497" t="s">
        <v>266</v>
      </c>
      <c r="B6" s="498"/>
      <c r="C6" s="131"/>
      <c r="D6" s="499"/>
      <c r="E6" s="499"/>
      <c r="F6" s="131"/>
      <c r="G6" s="500"/>
      <c r="H6" s="500"/>
      <c r="I6" s="500"/>
      <c r="J6" s="131"/>
      <c r="K6" s="131"/>
      <c r="L6" s="131"/>
      <c r="M6" s="131"/>
      <c r="N6" s="131"/>
      <c r="O6" s="131"/>
      <c r="P6" s="131"/>
      <c r="Q6" s="131"/>
      <c r="R6" s="503"/>
    </row>
    <row r="7" customFormat="false" ht="12.75" hidden="false" customHeight="false" outlineLevel="0" collapsed="false">
      <c r="D7" s="505"/>
      <c r="E7" s="505"/>
      <c r="F7" s="295"/>
      <c r="G7" s="306" t="s">
        <v>192</v>
      </c>
      <c r="H7" s="307"/>
      <c r="I7" s="295"/>
      <c r="J7" s="295"/>
      <c r="K7" s="176"/>
      <c r="L7" s="295"/>
      <c r="M7" s="176"/>
      <c r="N7" s="176"/>
      <c r="O7" s="176"/>
      <c r="P7" s="176"/>
      <c r="Q7" s="103"/>
      <c r="R7" s="619"/>
      <c r="S7" s="619"/>
    </row>
    <row r="8" customFormat="false" ht="12.75" hidden="false" customHeight="false" outlineLevel="0" collapsed="false">
      <c r="D8" s="308" t="n">
        <v>1998</v>
      </c>
      <c r="E8" s="308" t="n">
        <v>1999</v>
      </c>
      <c r="F8" s="308" t="n">
        <v>2000</v>
      </c>
      <c r="G8" s="308" t="n">
        <v>2001</v>
      </c>
      <c r="H8" s="309" t="n">
        <v>2002</v>
      </c>
      <c r="I8" s="309" t="n">
        <v>2003</v>
      </c>
      <c r="J8" s="309" t="n">
        <v>2004</v>
      </c>
      <c r="K8" s="309" t="n">
        <v>2005</v>
      </c>
      <c r="L8" s="309" t="n">
        <v>2006</v>
      </c>
      <c r="M8" s="310" t="n">
        <v>2007</v>
      </c>
      <c r="N8" s="310" t="n">
        <v>2008</v>
      </c>
      <c r="O8" s="310" t="n">
        <v>2009</v>
      </c>
      <c r="P8" s="310" t="n">
        <v>2010</v>
      </c>
      <c r="Q8" s="441" t="n">
        <v>2011</v>
      </c>
      <c r="R8" s="95"/>
      <c r="S8" s="95"/>
    </row>
    <row r="9" customFormat="false" ht="12.75" hidden="false" customHeight="false" outlineLevel="0" collapsed="false">
      <c r="F9" s="312" t="s">
        <v>193</v>
      </c>
      <c r="G9" s="308" t="n">
        <v>1</v>
      </c>
      <c r="H9" s="309" t="n">
        <v>2</v>
      </c>
      <c r="I9" s="309" t="n">
        <v>3</v>
      </c>
      <c r="J9" s="309" t="n">
        <v>4</v>
      </c>
      <c r="K9" s="309" t="n">
        <v>5</v>
      </c>
      <c r="L9" s="309" t="n">
        <v>6</v>
      </c>
      <c r="M9" s="309" t="n">
        <v>7</v>
      </c>
      <c r="N9" s="309" t="n">
        <v>8</v>
      </c>
      <c r="O9" s="309" t="n">
        <v>9</v>
      </c>
      <c r="P9" s="309" t="n">
        <v>10</v>
      </c>
      <c r="Q9" s="387" t="n">
        <v>11</v>
      </c>
      <c r="R9" s="95"/>
      <c r="S9" s="95"/>
    </row>
    <row r="10" customFormat="false" ht="12.75" hidden="false" customHeight="false" outlineLevel="0" collapsed="false">
      <c r="A10" s="371" t="s">
        <v>312</v>
      </c>
      <c r="D10" s="508"/>
      <c r="E10" s="508"/>
      <c r="F10" s="667"/>
      <c r="G10" s="668"/>
      <c r="H10" s="393"/>
      <c r="I10" s="393"/>
      <c r="J10" s="393"/>
      <c r="K10" s="393"/>
      <c r="L10" s="393"/>
      <c r="M10" s="393"/>
      <c r="N10" s="393"/>
      <c r="O10" s="393"/>
      <c r="P10" s="393"/>
      <c r="Q10" s="404"/>
      <c r="R10" s="95"/>
      <c r="S10" s="95"/>
    </row>
    <row r="11" customFormat="false" ht="12.75" hidden="false" customHeight="false" outlineLevel="0" collapsed="false">
      <c r="A11" s="0" t="str">
        <f aca="false">A79</f>
        <v>Transportation &amp; Storage of NatGas</v>
      </c>
      <c r="D11" s="669" t="n">
        <f aca="false">D79</f>
        <v>468000</v>
      </c>
      <c r="E11" s="669" t="n">
        <f aca="false">E79</f>
        <v>441000</v>
      </c>
      <c r="F11" s="669" t="n">
        <f aca="false">F79</f>
        <v>425000</v>
      </c>
      <c r="G11" s="670" t="n">
        <f aca="false">G79</f>
        <v>424000</v>
      </c>
      <c r="H11" s="671" t="n">
        <f aca="false">H79</f>
        <v>428240</v>
      </c>
      <c r="I11" s="671" t="n">
        <f aca="false">I79</f>
        <v>432522.4</v>
      </c>
      <c r="J11" s="671" t="n">
        <f aca="false">J79</f>
        <v>436847.624</v>
      </c>
      <c r="K11" s="671" t="n">
        <f aca="false">K79</f>
        <v>441216.10024</v>
      </c>
      <c r="L11" s="671" t="n">
        <f aca="false">L79</f>
        <v>445628.2612424</v>
      </c>
      <c r="M11" s="671" t="n">
        <f aca="false">M79</f>
        <v>450084.543854824</v>
      </c>
      <c r="N11" s="671" t="n">
        <f aca="false">N79</f>
        <v>454585.389293372</v>
      </c>
      <c r="O11" s="671" t="n">
        <f aca="false">O79</f>
        <v>459131.243186306</v>
      </c>
      <c r="P11" s="671" t="n">
        <f aca="false">P79</f>
        <v>463722.555618169</v>
      </c>
      <c r="Q11" s="671" t="n">
        <f aca="false">Q79</f>
        <v>468359.781174351</v>
      </c>
      <c r="R11" s="95"/>
      <c r="S11" s="95"/>
    </row>
    <row r="12" customFormat="false" ht="12.75" hidden="false" customHeight="false" outlineLevel="0" collapsed="false">
      <c r="A12" s="0" t="str">
        <f aca="false">A80</f>
        <v>LNG Terminalling Revenue</v>
      </c>
      <c r="D12" s="669" t="n">
        <f aca="false">D80</f>
        <v>0</v>
      </c>
      <c r="E12" s="669" t="n">
        <f aca="false">E80</f>
        <v>0</v>
      </c>
      <c r="F12" s="669" t="n">
        <f aca="false">F80</f>
        <v>0</v>
      </c>
      <c r="G12" s="670" t="n">
        <f aca="false">G80</f>
        <v>98000</v>
      </c>
      <c r="H12" s="671" t="n">
        <f aca="false">H80</f>
        <v>99960</v>
      </c>
      <c r="I12" s="671" t="n">
        <f aca="false">I80</f>
        <v>101959.2</v>
      </c>
      <c r="J12" s="671" t="n">
        <f aca="false">J80</f>
        <v>103998.384</v>
      </c>
      <c r="K12" s="671" t="n">
        <f aca="false">K80</f>
        <v>106078.35168</v>
      </c>
      <c r="L12" s="671" t="n">
        <f aca="false">L80</f>
        <v>108199.9187136</v>
      </c>
      <c r="M12" s="671" t="n">
        <f aca="false">M80</f>
        <v>110363.917087872</v>
      </c>
      <c r="N12" s="671" t="n">
        <f aca="false">N80</f>
        <v>112571.195429629</v>
      </c>
      <c r="O12" s="671" t="n">
        <f aca="false">O80</f>
        <v>114822.619338222</v>
      </c>
      <c r="P12" s="671" t="n">
        <f aca="false">P80</f>
        <v>117119.071724987</v>
      </c>
      <c r="Q12" s="671" t="n">
        <f aca="false">Q80</f>
        <v>119461.453159486</v>
      </c>
      <c r="R12" s="95"/>
      <c r="S12" s="95"/>
    </row>
    <row r="13" customFormat="false" ht="12.75" hidden="false" customHeight="false" outlineLevel="0" collapsed="false">
      <c r="A13" s="0" t="str">
        <f aca="false">A81</f>
        <v>Other</v>
      </c>
      <c r="D13" s="669" t="n">
        <f aca="false">D81</f>
        <v>28000</v>
      </c>
      <c r="E13" s="669" t="n">
        <f aca="false">E81</f>
        <v>30000</v>
      </c>
      <c r="F13" s="669" t="n">
        <f aca="false">F81</f>
        <v>58000</v>
      </c>
      <c r="G13" s="670" t="n">
        <f aca="false">G81</f>
        <v>18000</v>
      </c>
      <c r="H13" s="671" t="n">
        <f aca="false">H81</f>
        <v>18540</v>
      </c>
      <c r="I13" s="671" t="n">
        <f aca="false">I81</f>
        <v>19096.2</v>
      </c>
      <c r="J13" s="671" t="n">
        <f aca="false">J81</f>
        <v>19669.086</v>
      </c>
      <c r="K13" s="671" t="n">
        <f aca="false">K81</f>
        <v>20259.15858</v>
      </c>
      <c r="L13" s="671" t="n">
        <f aca="false">L81</f>
        <v>20866.9333374</v>
      </c>
      <c r="M13" s="671" t="n">
        <f aca="false">M81</f>
        <v>21492.941337522</v>
      </c>
      <c r="N13" s="671" t="n">
        <f aca="false">N81</f>
        <v>22137.7295776477</v>
      </c>
      <c r="O13" s="671" t="n">
        <f aca="false">O81</f>
        <v>22801.8614649771</v>
      </c>
      <c r="P13" s="671" t="n">
        <f aca="false">P81</f>
        <v>23485.9173089264</v>
      </c>
      <c r="Q13" s="671" t="n">
        <f aca="false">Q81</f>
        <v>24190.4948281942</v>
      </c>
      <c r="R13" s="95"/>
      <c r="S13" s="95"/>
    </row>
    <row r="14" customFormat="false" ht="12.75" hidden="false" customHeight="false" outlineLevel="1" collapsed="false">
      <c r="A14" s="0" t="str">
        <f aca="false">A82</f>
        <v>Revenue 4</v>
      </c>
      <c r="D14" s="669" t="n">
        <f aca="false">D82</f>
        <v>0</v>
      </c>
      <c r="E14" s="669" t="n">
        <f aca="false">E82</f>
        <v>0</v>
      </c>
      <c r="F14" s="669" t="n">
        <f aca="false">F82</f>
        <v>0</v>
      </c>
      <c r="G14" s="670" t="n">
        <f aca="false">G82</f>
        <v>0</v>
      </c>
      <c r="H14" s="671" t="n">
        <f aca="false">H82</f>
        <v>0</v>
      </c>
      <c r="I14" s="671" t="n">
        <f aca="false">I82</f>
        <v>0</v>
      </c>
      <c r="J14" s="671" t="n">
        <f aca="false">J82</f>
        <v>0</v>
      </c>
      <c r="K14" s="671" t="n">
        <f aca="false">K82</f>
        <v>0</v>
      </c>
      <c r="L14" s="671" t="n">
        <f aca="false">L82</f>
        <v>0</v>
      </c>
      <c r="M14" s="671" t="n">
        <f aca="false">M82</f>
        <v>0</v>
      </c>
      <c r="N14" s="671" t="n">
        <f aca="false">N82</f>
        <v>0</v>
      </c>
      <c r="O14" s="671" t="n">
        <f aca="false">O82</f>
        <v>0</v>
      </c>
      <c r="P14" s="671" t="n">
        <f aca="false">P82</f>
        <v>0</v>
      </c>
      <c r="Q14" s="671" t="n">
        <f aca="false">Q82</f>
        <v>0</v>
      </c>
      <c r="R14" s="95"/>
      <c r="S14" s="95"/>
    </row>
    <row r="15" customFormat="false" ht="12.75" hidden="false" customHeight="false" outlineLevel="1" collapsed="false">
      <c r="A15" s="0" t="str">
        <f aca="false">A83</f>
        <v>Revenue 5</v>
      </c>
      <c r="D15" s="669" t="n">
        <f aca="false">D83</f>
        <v>0</v>
      </c>
      <c r="E15" s="669" t="n">
        <f aca="false">E83</f>
        <v>0</v>
      </c>
      <c r="F15" s="669" t="n">
        <f aca="false">F83</f>
        <v>0</v>
      </c>
      <c r="G15" s="670" t="n">
        <f aca="false">G83</f>
        <v>0</v>
      </c>
      <c r="H15" s="671" t="n">
        <f aca="false">H83</f>
        <v>0</v>
      </c>
      <c r="I15" s="671" t="n">
        <f aca="false">I83</f>
        <v>0</v>
      </c>
      <c r="J15" s="671" t="n">
        <f aca="false">J83</f>
        <v>0</v>
      </c>
      <c r="K15" s="671" t="n">
        <f aca="false">K83</f>
        <v>0</v>
      </c>
      <c r="L15" s="671" t="n">
        <f aca="false">L83</f>
        <v>0</v>
      </c>
      <c r="M15" s="671" t="n">
        <f aca="false">M83</f>
        <v>0</v>
      </c>
      <c r="N15" s="671" t="n">
        <f aca="false">N83</f>
        <v>0</v>
      </c>
      <c r="O15" s="671" t="n">
        <f aca="false">O83</f>
        <v>0</v>
      </c>
      <c r="P15" s="671" t="n">
        <f aca="false">P83</f>
        <v>0</v>
      </c>
      <c r="Q15" s="671" t="n">
        <f aca="false">Q83</f>
        <v>0</v>
      </c>
      <c r="R15" s="449"/>
    </row>
    <row r="16" customFormat="false" ht="12.75" hidden="false" customHeight="false" outlineLevel="1" collapsed="false">
      <c r="A16" s="0" t="str">
        <f aca="false">A84</f>
        <v>Revenue 6</v>
      </c>
      <c r="D16" s="669" t="n">
        <f aca="false">D84</f>
        <v>0</v>
      </c>
      <c r="E16" s="669" t="n">
        <f aca="false">E84</f>
        <v>0</v>
      </c>
      <c r="F16" s="669" t="n">
        <f aca="false">F84</f>
        <v>0</v>
      </c>
      <c r="G16" s="670" t="n">
        <f aca="false">G84</f>
        <v>0</v>
      </c>
      <c r="H16" s="671" t="n">
        <f aca="false">H84</f>
        <v>0</v>
      </c>
      <c r="I16" s="671" t="n">
        <f aca="false">I84</f>
        <v>0</v>
      </c>
      <c r="J16" s="671" t="n">
        <f aca="false">J84</f>
        <v>0</v>
      </c>
      <c r="K16" s="671" t="n">
        <f aca="false">K84</f>
        <v>0</v>
      </c>
      <c r="L16" s="671" t="n">
        <f aca="false">L84</f>
        <v>0</v>
      </c>
      <c r="M16" s="671" t="n">
        <f aca="false">M84</f>
        <v>0</v>
      </c>
      <c r="N16" s="671" t="n">
        <f aca="false">N84</f>
        <v>0</v>
      </c>
      <c r="O16" s="671" t="n">
        <f aca="false">O84</f>
        <v>0</v>
      </c>
      <c r="P16" s="671" t="n">
        <f aca="false">P84</f>
        <v>0</v>
      </c>
      <c r="Q16" s="671" t="n">
        <f aca="false">Q84</f>
        <v>0</v>
      </c>
      <c r="R16" s="449"/>
    </row>
    <row r="17" customFormat="false" ht="12.75" hidden="false" customHeight="false" outlineLevel="0" collapsed="false">
      <c r="A17" s="621" t="s">
        <v>313</v>
      </c>
      <c r="B17" s="622"/>
      <c r="C17" s="623"/>
      <c r="D17" s="672" t="n">
        <f aca="false">SUM(D11:D16)</f>
        <v>496000</v>
      </c>
      <c r="E17" s="672" t="n">
        <f aca="false">SUM(E11:E16)</f>
        <v>471000</v>
      </c>
      <c r="F17" s="672" t="n">
        <f aca="false">SUM(F11:F16)</f>
        <v>483000</v>
      </c>
      <c r="G17" s="672" t="n">
        <f aca="false">SUM(G11:G16)</f>
        <v>540000</v>
      </c>
      <c r="H17" s="673" t="n">
        <f aca="false">SUM(H11:H16)</f>
        <v>546740</v>
      </c>
      <c r="I17" s="673" t="n">
        <f aca="false">SUM(I11:I16)</f>
        <v>553577.8</v>
      </c>
      <c r="J17" s="673" t="n">
        <f aca="false">SUM(J11:J16)</f>
        <v>560515.094</v>
      </c>
      <c r="K17" s="673" t="n">
        <f aca="false">SUM(K11:K16)</f>
        <v>567553.6105</v>
      </c>
      <c r="L17" s="673" t="n">
        <f aca="false">SUM(L11:L16)</f>
        <v>574695.1132934</v>
      </c>
      <c r="M17" s="673" t="n">
        <f aca="false">SUM(M11:M16)</f>
        <v>581941.402280218</v>
      </c>
      <c r="N17" s="673" t="n">
        <f aca="false">SUM(N11:N16)</f>
        <v>589294.314300649</v>
      </c>
      <c r="O17" s="673" t="n">
        <f aca="false">SUM(O11:O16)</f>
        <v>596755.723989505</v>
      </c>
      <c r="P17" s="673" t="n">
        <f aca="false">SUM(P11:P16)</f>
        <v>604327.544652082</v>
      </c>
      <c r="Q17" s="673" t="n">
        <f aca="false">SUM(Q11:Q16)</f>
        <v>612011.729162031</v>
      </c>
      <c r="R17" s="449"/>
    </row>
    <row r="18" customFormat="false" ht="12.75" hidden="false" customHeight="false" outlineLevel="0" collapsed="false">
      <c r="D18" s="626"/>
      <c r="E18" s="626"/>
      <c r="F18" s="513"/>
      <c r="G18" s="627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449"/>
    </row>
    <row r="19" customFormat="false" ht="12.75" hidden="false" customHeight="false" outlineLevel="0" collapsed="false">
      <c r="A19" s="371" t="s">
        <v>314</v>
      </c>
      <c r="D19" s="626"/>
      <c r="E19" s="626"/>
      <c r="F19" s="513"/>
      <c r="G19" s="627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449"/>
    </row>
    <row r="20" customFormat="false" ht="12.75" hidden="false" customHeight="false" outlineLevel="0" collapsed="false">
      <c r="A20" s="0" t="str">
        <f aca="false">A101</f>
        <v>Operation and Maintenance</v>
      </c>
      <c r="D20" s="669" t="n">
        <f aca="false">D101</f>
        <v>213000</v>
      </c>
      <c r="E20" s="669" t="n">
        <f aca="false">E101</f>
        <v>191000</v>
      </c>
      <c r="F20" s="669" t="n">
        <f aca="false">F101</f>
        <v>211000</v>
      </c>
      <c r="G20" s="674" t="n">
        <f aca="false">G101</f>
        <v>210000</v>
      </c>
      <c r="H20" s="675" t="n">
        <f aca="false">H101</f>
        <v>215250</v>
      </c>
      <c r="I20" s="675" t="n">
        <f aca="false">I101</f>
        <v>220631.25</v>
      </c>
      <c r="J20" s="675" t="n">
        <f aca="false">J101</f>
        <v>226147.03125</v>
      </c>
      <c r="K20" s="675" t="n">
        <f aca="false">K101</f>
        <v>231800.70703125</v>
      </c>
      <c r="L20" s="675" t="n">
        <f aca="false">L101</f>
        <v>237595.724707031</v>
      </c>
      <c r="M20" s="675" t="n">
        <f aca="false">M101</f>
        <v>243535.617824707</v>
      </c>
      <c r="N20" s="675" t="n">
        <f aca="false">N101</f>
        <v>249624.008270325</v>
      </c>
      <c r="O20" s="675" t="n">
        <f aca="false">O101</f>
        <v>255864.608477083</v>
      </c>
      <c r="P20" s="675" t="n">
        <f aca="false">P101</f>
        <v>262261.22368901</v>
      </c>
      <c r="Q20" s="675" t="n">
        <f aca="false">Q101</f>
        <v>268817.754281235</v>
      </c>
      <c r="R20" s="449"/>
    </row>
    <row r="21" customFormat="false" ht="12.75" hidden="false" customHeight="false" outlineLevel="1" collapsed="false">
      <c r="A21" s="0" t="str">
        <f aca="false">A102</f>
        <v>Expense 2</v>
      </c>
      <c r="D21" s="669" t="n">
        <f aca="false">D102</f>
        <v>0</v>
      </c>
      <c r="E21" s="669" t="n">
        <f aca="false">E102</f>
        <v>0</v>
      </c>
      <c r="F21" s="669" t="n">
        <f aca="false">F102</f>
        <v>0</v>
      </c>
      <c r="G21" s="669" t="n">
        <f aca="false">G102</f>
        <v>0</v>
      </c>
      <c r="H21" s="675" t="n">
        <f aca="false">H102</f>
        <v>0</v>
      </c>
      <c r="I21" s="675" t="n">
        <f aca="false">I102</f>
        <v>0</v>
      </c>
      <c r="J21" s="675" t="n">
        <f aca="false">J102</f>
        <v>0</v>
      </c>
      <c r="K21" s="675" t="n">
        <f aca="false">K102</f>
        <v>0</v>
      </c>
      <c r="L21" s="675" t="n">
        <f aca="false">L102</f>
        <v>0</v>
      </c>
      <c r="M21" s="675" t="n">
        <f aca="false">M102</f>
        <v>0</v>
      </c>
      <c r="N21" s="675" t="n">
        <f aca="false">N102</f>
        <v>0</v>
      </c>
      <c r="O21" s="675" t="n">
        <f aca="false">O102</f>
        <v>0</v>
      </c>
      <c r="P21" s="675" t="n">
        <f aca="false">P102</f>
        <v>0</v>
      </c>
      <c r="Q21" s="675" t="n">
        <f aca="false">Q102</f>
        <v>0</v>
      </c>
      <c r="R21" s="449"/>
    </row>
    <row r="22" customFormat="false" ht="12.75" hidden="false" customHeight="false" outlineLevel="1" collapsed="false">
      <c r="A22" s="0" t="str">
        <f aca="false">A103</f>
        <v>Expense 3</v>
      </c>
      <c r="D22" s="669" t="n">
        <f aca="false">D103</f>
        <v>0</v>
      </c>
      <c r="E22" s="669" t="n">
        <f aca="false">E103</f>
        <v>0</v>
      </c>
      <c r="F22" s="669" t="n">
        <f aca="false">F103</f>
        <v>0</v>
      </c>
      <c r="G22" s="669" t="n">
        <f aca="false">G103</f>
        <v>0</v>
      </c>
      <c r="H22" s="675" t="n">
        <f aca="false">H103</f>
        <v>0</v>
      </c>
      <c r="I22" s="675" t="n">
        <f aca="false">I103</f>
        <v>0</v>
      </c>
      <c r="J22" s="675" t="n">
        <f aca="false">J103</f>
        <v>0</v>
      </c>
      <c r="K22" s="675" t="n">
        <f aca="false">K103</f>
        <v>0</v>
      </c>
      <c r="L22" s="675" t="n">
        <f aca="false">L103</f>
        <v>0</v>
      </c>
      <c r="M22" s="675" t="n">
        <f aca="false">M103</f>
        <v>0</v>
      </c>
      <c r="N22" s="675" t="n">
        <f aca="false">N103</f>
        <v>0</v>
      </c>
      <c r="O22" s="675" t="n">
        <f aca="false">O103</f>
        <v>0</v>
      </c>
      <c r="P22" s="675" t="n">
        <f aca="false">P103</f>
        <v>0</v>
      </c>
      <c r="Q22" s="675" t="n">
        <f aca="false">Q103</f>
        <v>0</v>
      </c>
      <c r="R22" s="449"/>
    </row>
    <row r="23" customFormat="false" ht="12.75" hidden="false" customHeight="false" outlineLevel="1" collapsed="false">
      <c r="A23" s="0" t="str">
        <f aca="false">A104</f>
        <v>Expense 4</v>
      </c>
      <c r="D23" s="669" t="n">
        <f aca="false">D104</f>
        <v>0</v>
      </c>
      <c r="E23" s="669" t="n">
        <f aca="false">E104</f>
        <v>0</v>
      </c>
      <c r="F23" s="669" t="n">
        <f aca="false">F104</f>
        <v>0</v>
      </c>
      <c r="G23" s="669" t="n">
        <f aca="false">G104</f>
        <v>0</v>
      </c>
      <c r="H23" s="675" t="n">
        <f aca="false">H104</f>
        <v>0</v>
      </c>
      <c r="I23" s="675" t="n">
        <f aca="false">I104</f>
        <v>0</v>
      </c>
      <c r="J23" s="675" t="n">
        <f aca="false">J104</f>
        <v>0</v>
      </c>
      <c r="K23" s="675" t="n">
        <f aca="false">K104</f>
        <v>0</v>
      </c>
      <c r="L23" s="675" t="n">
        <f aca="false">L104</f>
        <v>0</v>
      </c>
      <c r="M23" s="675" t="n">
        <f aca="false">M104</f>
        <v>0</v>
      </c>
      <c r="N23" s="675" t="n">
        <f aca="false">N104</f>
        <v>0</v>
      </c>
      <c r="O23" s="675" t="n">
        <f aca="false">O104</f>
        <v>0</v>
      </c>
      <c r="P23" s="675" t="n">
        <f aca="false">P104</f>
        <v>0</v>
      </c>
      <c r="Q23" s="675" t="n">
        <f aca="false">Q104</f>
        <v>0</v>
      </c>
      <c r="R23" s="449"/>
    </row>
    <row r="24" customFormat="false" ht="12.75" hidden="false" customHeight="false" outlineLevel="1" collapsed="false">
      <c r="A24" s="0" t="str">
        <f aca="false">A105</f>
        <v>Expense 5</v>
      </c>
      <c r="D24" s="669" t="n">
        <f aca="false">D105</f>
        <v>0</v>
      </c>
      <c r="E24" s="669" t="n">
        <f aca="false">E105</f>
        <v>0</v>
      </c>
      <c r="F24" s="669" t="n">
        <f aca="false">F105</f>
        <v>0</v>
      </c>
      <c r="G24" s="669" t="n">
        <f aca="false">G105</f>
        <v>0</v>
      </c>
      <c r="H24" s="675" t="n">
        <f aca="false">H105</f>
        <v>0</v>
      </c>
      <c r="I24" s="675" t="n">
        <f aca="false">I105</f>
        <v>0</v>
      </c>
      <c r="J24" s="675" t="n">
        <f aca="false">J105</f>
        <v>0</v>
      </c>
      <c r="K24" s="675" t="n">
        <f aca="false">K105</f>
        <v>0</v>
      </c>
      <c r="L24" s="675" t="n">
        <f aca="false">L105</f>
        <v>0</v>
      </c>
      <c r="M24" s="675" t="n">
        <f aca="false">M105</f>
        <v>0</v>
      </c>
      <c r="N24" s="675" t="n">
        <f aca="false">N105</f>
        <v>0</v>
      </c>
      <c r="O24" s="675" t="n">
        <f aca="false">O105</f>
        <v>0</v>
      </c>
      <c r="P24" s="675" t="n">
        <f aca="false">P105</f>
        <v>0</v>
      </c>
      <c r="Q24" s="675" t="n">
        <f aca="false">Q105</f>
        <v>0</v>
      </c>
      <c r="R24" s="449"/>
    </row>
    <row r="25" customFormat="false" ht="12.75" hidden="false" customHeight="false" outlineLevel="0" collapsed="false">
      <c r="A25" s="25" t="s">
        <v>315</v>
      </c>
      <c r="B25" s="628"/>
      <c r="C25" s="17"/>
      <c r="D25" s="676" t="n">
        <f aca="false">SUM(D20:D24)</f>
        <v>213000</v>
      </c>
      <c r="E25" s="676" t="n">
        <f aca="false">SUM(E20:E24)</f>
        <v>191000</v>
      </c>
      <c r="F25" s="676" t="n">
        <f aca="false">SUM(F20:F24)</f>
        <v>211000</v>
      </c>
      <c r="G25" s="676" t="n">
        <f aca="false">SUM(G20:G24)</f>
        <v>210000</v>
      </c>
      <c r="H25" s="677" t="n">
        <f aca="false">SUM(H20:H24)</f>
        <v>215250</v>
      </c>
      <c r="I25" s="677" t="n">
        <f aca="false">SUM(I20:I24)</f>
        <v>220631.25</v>
      </c>
      <c r="J25" s="677" t="n">
        <f aca="false">SUM(J20:J24)</f>
        <v>226147.03125</v>
      </c>
      <c r="K25" s="677" t="n">
        <f aca="false">SUM(K20:K24)</f>
        <v>231800.70703125</v>
      </c>
      <c r="L25" s="677" t="n">
        <f aca="false">SUM(L20:L24)</f>
        <v>237595.724707031</v>
      </c>
      <c r="M25" s="677" t="n">
        <f aca="false">SUM(M20:M24)</f>
        <v>243535.617824707</v>
      </c>
      <c r="N25" s="677" t="n">
        <f aca="false">SUM(N20:N24)</f>
        <v>249624.008270325</v>
      </c>
      <c r="O25" s="677" t="n">
        <f aca="false">SUM(O20:O24)</f>
        <v>255864.608477083</v>
      </c>
      <c r="P25" s="677" t="n">
        <f aca="false">SUM(P20:P24)</f>
        <v>262261.22368901</v>
      </c>
      <c r="Q25" s="677" t="n">
        <f aca="false">SUM(Q20:Q24)</f>
        <v>268817.754281235</v>
      </c>
      <c r="R25" s="449"/>
    </row>
    <row r="26" customFormat="false" ht="12.75" hidden="false" customHeight="false" outlineLevel="0" collapsed="false">
      <c r="A26" s="25"/>
      <c r="B26" s="628"/>
      <c r="C26" s="17"/>
      <c r="D26" s="631"/>
      <c r="E26" s="631"/>
      <c r="F26" s="631"/>
      <c r="G26" s="631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49"/>
    </row>
    <row r="27" customFormat="false" ht="12.75" hidden="false" customHeight="false" outlineLevel="0" collapsed="false">
      <c r="A27" s="371" t="s">
        <v>316</v>
      </c>
      <c r="D27" s="508"/>
      <c r="E27" s="508"/>
      <c r="F27" s="508"/>
      <c r="G27" s="508"/>
      <c r="R27" s="449"/>
    </row>
    <row r="28" customFormat="false" ht="12.75" hidden="false" customHeight="false" outlineLevel="0" collapsed="false">
      <c r="A28" s="0" t="s">
        <v>317</v>
      </c>
      <c r="D28" s="669" t="n">
        <f aca="false">D121</f>
        <v>24000</v>
      </c>
      <c r="E28" s="669" t="n">
        <f aca="false">E121</f>
        <v>6000</v>
      </c>
      <c r="F28" s="669" t="n">
        <f aca="false">F121</f>
        <v>8000</v>
      </c>
      <c r="G28" s="669" t="n">
        <f aca="false">G121</f>
        <v>8000</v>
      </c>
      <c r="H28" s="678" t="n">
        <f aca="false">H121</f>
        <v>8080</v>
      </c>
      <c r="I28" s="678" t="n">
        <f aca="false">I121</f>
        <v>8160.8</v>
      </c>
      <c r="J28" s="678" t="n">
        <f aca="false">J121</f>
        <v>8242.408</v>
      </c>
      <c r="K28" s="678" t="n">
        <f aca="false">K121</f>
        <v>8324.83208</v>
      </c>
      <c r="L28" s="678" t="n">
        <f aca="false">L121</f>
        <v>8408.0804008</v>
      </c>
      <c r="M28" s="678" t="n">
        <f aca="false">M121</f>
        <v>8492.161204808</v>
      </c>
      <c r="N28" s="678" t="n">
        <f aca="false">N121</f>
        <v>8577.08281685608</v>
      </c>
      <c r="O28" s="678" t="n">
        <f aca="false">O121</f>
        <v>8662.85364502464</v>
      </c>
      <c r="P28" s="678" t="n">
        <f aca="false">P121</f>
        <v>8749.48218147489</v>
      </c>
      <c r="Q28" s="678" t="n">
        <f aca="false">Q121</f>
        <v>8836.97700328964</v>
      </c>
      <c r="R28" s="449"/>
    </row>
    <row r="29" customFormat="false" ht="12.75" hidden="false" customHeight="false" outlineLevel="1" collapsed="false">
      <c r="A29" s="160" t="s">
        <v>318</v>
      </c>
      <c r="D29" s="669" t="n">
        <f aca="false">D122</f>
        <v>0</v>
      </c>
      <c r="E29" s="669" t="n">
        <f aca="false">E122</f>
        <v>0</v>
      </c>
      <c r="F29" s="669" t="n">
        <f aca="false">F122</f>
        <v>0</v>
      </c>
      <c r="G29" s="669" t="n">
        <f aca="false">G122</f>
        <v>0</v>
      </c>
      <c r="H29" s="678" t="n">
        <f aca="false">H122</f>
        <v>0</v>
      </c>
      <c r="I29" s="678" t="n">
        <f aca="false">I122</f>
        <v>0</v>
      </c>
      <c r="J29" s="678" t="n">
        <f aca="false">J122</f>
        <v>0</v>
      </c>
      <c r="K29" s="678" t="n">
        <f aca="false">K122</f>
        <v>0</v>
      </c>
      <c r="L29" s="678" t="n">
        <f aca="false">L122</f>
        <v>0</v>
      </c>
      <c r="M29" s="678" t="n">
        <f aca="false">M122</f>
        <v>0</v>
      </c>
      <c r="N29" s="678" t="n">
        <f aca="false">N122</f>
        <v>0</v>
      </c>
      <c r="O29" s="678" t="n">
        <f aca="false">O122</f>
        <v>0</v>
      </c>
      <c r="P29" s="678" t="n">
        <f aca="false">P122</f>
        <v>0</v>
      </c>
      <c r="Q29" s="678" t="n">
        <f aca="false">Q122</f>
        <v>0</v>
      </c>
      <c r="R29" s="449"/>
    </row>
    <row r="30" customFormat="false" ht="12.75" hidden="false" customHeight="false" outlineLevel="1" collapsed="false">
      <c r="A30" s="160" t="s">
        <v>319</v>
      </c>
      <c r="D30" s="669" t="n">
        <f aca="false">D123</f>
        <v>0</v>
      </c>
      <c r="E30" s="669" t="n">
        <f aca="false">E123</f>
        <v>0</v>
      </c>
      <c r="F30" s="669" t="n">
        <f aca="false">F123</f>
        <v>0</v>
      </c>
      <c r="G30" s="669" t="n">
        <f aca="false">G123</f>
        <v>0</v>
      </c>
      <c r="H30" s="678" t="n">
        <f aca="false">H123</f>
        <v>0</v>
      </c>
      <c r="I30" s="678" t="n">
        <f aca="false">I123</f>
        <v>0</v>
      </c>
      <c r="J30" s="678" t="n">
        <f aca="false">J123</f>
        <v>0</v>
      </c>
      <c r="K30" s="678" t="n">
        <f aca="false">K123</f>
        <v>0</v>
      </c>
      <c r="L30" s="678" t="n">
        <f aca="false">L123</f>
        <v>0</v>
      </c>
      <c r="M30" s="678" t="n">
        <f aca="false">M123</f>
        <v>0</v>
      </c>
      <c r="N30" s="678" t="n">
        <f aca="false">N123</f>
        <v>0</v>
      </c>
      <c r="O30" s="678" t="n">
        <f aca="false">O123</f>
        <v>0</v>
      </c>
      <c r="P30" s="678" t="n">
        <f aca="false">P123</f>
        <v>0</v>
      </c>
      <c r="Q30" s="678" t="n">
        <f aca="false">Q123</f>
        <v>0</v>
      </c>
      <c r="R30" s="449"/>
    </row>
    <row r="31" customFormat="false" ht="12.75" hidden="false" customHeight="false" outlineLevel="0" collapsed="false">
      <c r="A31" s="371" t="s">
        <v>320</v>
      </c>
      <c r="D31" s="679" t="n">
        <f aca="false">SUM(D28:D30)</f>
        <v>24000</v>
      </c>
      <c r="E31" s="679" t="n">
        <f aca="false">SUM(E28:E30)</f>
        <v>6000</v>
      </c>
      <c r="F31" s="679" t="n">
        <f aca="false">SUM(F28:F30)</f>
        <v>8000</v>
      </c>
      <c r="G31" s="679" t="n">
        <f aca="false">SUM(G28:G30)</f>
        <v>8000</v>
      </c>
      <c r="H31" s="680" t="n">
        <f aca="false">SUM(H28:H30)</f>
        <v>8080</v>
      </c>
      <c r="I31" s="680" t="n">
        <f aca="false">SUM(I28:I30)</f>
        <v>8160.8</v>
      </c>
      <c r="J31" s="680" t="n">
        <f aca="false">SUM(J28:J30)</f>
        <v>8242.408</v>
      </c>
      <c r="K31" s="680" t="n">
        <f aca="false">SUM(K28:K30)</f>
        <v>8324.83208</v>
      </c>
      <c r="L31" s="680" t="n">
        <f aca="false">SUM(L28:L30)</f>
        <v>8408.0804008</v>
      </c>
      <c r="M31" s="680" t="n">
        <f aca="false">SUM(M28:M30)</f>
        <v>8492.161204808</v>
      </c>
      <c r="N31" s="680" t="n">
        <f aca="false">SUM(N28:N30)</f>
        <v>8577.08281685608</v>
      </c>
      <c r="O31" s="680" t="n">
        <f aca="false">SUM(O28:O30)</f>
        <v>8662.85364502464</v>
      </c>
      <c r="P31" s="680" t="n">
        <f aca="false">SUM(P28:P30)</f>
        <v>8749.48218147489</v>
      </c>
      <c r="Q31" s="680" t="n">
        <f aca="false">SUM(Q28:Q30)</f>
        <v>8836.97700328964</v>
      </c>
      <c r="R31" s="449"/>
    </row>
    <row r="32" customFormat="false" ht="12.75" hidden="false" customHeight="false" outlineLevel="0" collapsed="false">
      <c r="A32" s="25"/>
      <c r="B32" s="628"/>
      <c r="C32" s="17"/>
      <c r="D32" s="631"/>
      <c r="E32" s="631"/>
      <c r="F32" s="631"/>
      <c r="G32" s="631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49"/>
    </row>
    <row r="33" customFormat="false" ht="13.5" hidden="false" customHeight="false" outlineLevel="0" collapsed="false">
      <c r="A33" s="25" t="s">
        <v>230</v>
      </c>
      <c r="B33" s="17"/>
      <c r="C33" s="17"/>
      <c r="D33" s="633" t="n">
        <f aca="false">D17-D25+D31</f>
        <v>307000</v>
      </c>
      <c r="E33" s="633" t="n">
        <f aca="false">E17-E25+E31</f>
        <v>286000</v>
      </c>
      <c r="F33" s="633" t="n">
        <f aca="false">F17-F25+F31</f>
        <v>280000</v>
      </c>
      <c r="G33" s="633" t="n">
        <f aca="false">G17-G25+G31</f>
        <v>338000</v>
      </c>
      <c r="H33" s="634" t="n">
        <f aca="false">H17-H25+H31</f>
        <v>339570</v>
      </c>
      <c r="I33" s="634" t="n">
        <f aca="false">I17-I25+I31</f>
        <v>341107.35</v>
      </c>
      <c r="J33" s="634" t="n">
        <f aca="false">J17-J25+J31</f>
        <v>342610.47075</v>
      </c>
      <c r="K33" s="634" t="n">
        <f aca="false">K17-K25+K31</f>
        <v>344077.73554875</v>
      </c>
      <c r="L33" s="634" t="n">
        <f aca="false">L17-L25+L31</f>
        <v>345507.468987169</v>
      </c>
      <c r="M33" s="634" t="n">
        <f aca="false">M17-M25+M31</f>
        <v>346897.945660319</v>
      </c>
      <c r="N33" s="634" t="n">
        <f aca="false">N17-N25+N31</f>
        <v>348247.388847181</v>
      </c>
      <c r="O33" s="634" t="n">
        <f aca="false">O17-O25+O31</f>
        <v>349553.969157447</v>
      </c>
      <c r="P33" s="634" t="n">
        <f aca="false">P17-P25+P31</f>
        <v>350815.803144547</v>
      </c>
      <c r="Q33" s="634" t="n">
        <f aca="false">Q17-Q25+Q31</f>
        <v>352030.951884086</v>
      </c>
      <c r="R33" s="449"/>
    </row>
    <row r="34" customFormat="false" ht="13.5" hidden="false" customHeight="false" outlineLevel="0" collapsed="false">
      <c r="A34" s="25"/>
      <c r="B34" s="17"/>
      <c r="C34" s="17"/>
      <c r="D34" s="631"/>
      <c r="E34" s="631"/>
      <c r="F34" s="631"/>
      <c r="G34" s="631"/>
      <c r="H34" s="426"/>
      <c r="I34" s="426"/>
      <c r="J34" s="426"/>
      <c r="K34" s="426"/>
      <c r="L34" s="426"/>
      <c r="M34" s="426"/>
      <c r="N34" s="426"/>
      <c r="O34" s="426"/>
      <c r="P34" s="426"/>
      <c r="Q34" s="426"/>
      <c r="R34" s="449"/>
    </row>
    <row r="35" customFormat="false" ht="12.75" hidden="false" customHeight="false" outlineLevel="0" collapsed="false">
      <c r="A35" s="115" t="s">
        <v>321</v>
      </c>
      <c r="D35" s="669" t="n">
        <v>56000</v>
      </c>
      <c r="E35" s="669" t="n">
        <v>58000</v>
      </c>
      <c r="F35" s="669" t="n">
        <v>65000</v>
      </c>
      <c r="G35" s="670" t="n">
        <f aca="false">33000*2</f>
        <v>66000</v>
      </c>
      <c r="H35" s="636" t="n">
        <f aca="false">H140</f>
        <v>58440</v>
      </c>
      <c r="I35" s="636" t="n">
        <f aca="false">I140</f>
        <v>59970.15</v>
      </c>
      <c r="J35" s="636" t="n">
        <f aca="false">J140</f>
        <v>61515.6015</v>
      </c>
      <c r="K35" s="636" t="n">
        <f aca="false">K140</f>
        <v>63076.507515</v>
      </c>
      <c r="L35" s="636" t="n">
        <f aca="false">L140</f>
        <v>64653.02259015</v>
      </c>
      <c r="M35" s="636" t="n">
        <f aca="false">M140</f>
        <v>66245.3028160515</v>
      </c>
      <c r="N35" s="636" t="n">
        <f aca="false">N140</f>
        <v>67853.505844212</v>
      </c>
      <c r="O35" s="636" t="n">
        <f aca="false">O140</f>
        <v>69477.7909026541</v>
      </c>
      <c r="P35" s="636" t="n">
        <f aca="false">P140</f>
        <v>71118.3188116807</v>
      </c>
      <c r="Q35" s="636" t="n">
        <f aca="false">Q140</f>
        <v>72775.2519997975</v>
      </c>
      <c r="R35" s="449"/>
    </row>
    <row r="36" customFormat="false" ht="12.75" hidden="false" customHeight="false" outlineLevel="0" collapsed="false">
      <c r="D36" s="508"/>
      <c r="E36" s="508"/>
      <c r="F36" s="508"/>
      <c r="G36" s="508"/>
      <c r="R36" s="449"/>
    </row>
    <row r="37" customFormat="false" ht="13.5" hidden="false" customHeight="false" outlineLevel="0" collapsed="false">
      <c r="A37" s="371" t="s">
        <v>233</v>
      </c>
      <c r="D37" s="637" t="n">
        <f aca="false">D33-D35</f>
        <v>251000</v>
      </c>
      <c r="E37" s="637" t="n">
        <f aca="false">E33-E35</f>
        <v>228000</v>
      </c>
      <c r="F37" s="637" t="n">
        <f aca="false">F33-F35</f>
        <v>215000</v>
      </c>
      <c r="G37" s="637" t="n">
        <f aca="false">G33-G35</f>
        <v>272000</v>
      </c>
      <c r="H37" s="638" t="n">
        <f aca="false">H33-H35</f>
        <v>281130</v>
      </c>
      <c r="I37" s="638" t="n">
        <f aca="false">I33-I35</f>
        <v>281137.2</v>
      </c>
      <c r="J37" s="638" t="n">
        <f aca="false">J33-J35</f>
        <v>281094.86925</v>
      </c>
      <c r="K37" s="638" t="n">
        <f aca="false">K33-K35</f>
        <v>281001.22803375</v>
      </c>
      <c r="L37" s="638" t="n">
        <f aca="false">L33-L35</f>
        <v>280854.446397019</v>
      </c>
      <c r="M37" s="638" t="n">
        <f aca="false">M33-M35</f>
        <v>280652.642844268</v>
      </c>
      <c r="N37" s="638" t="n">
        <f aca="false">N33-N35</f>
        <v>280393.883002969</v>
      </c>
      <c r="O37" s="638" t="n">
        <f aca="false">O33-O35</f>
        <v>280076.178254793</v>
      </c>
      <c r="P37" s="638" t="n">
        <f aca="false">P33-P35</f>
        <v>279697.484332867</v>
      </c>
      <c r="Q37" s="638" t="n">
        <f aca="false">Q33-Q35</f>
        <v>279255.699884288</v>
      </c>
      <c r="R37" s="449"/>
    </row>
    <row r="38" customFormat="false" ht="13.5" hidden="false" customHeight="false" outlineLevel="0" collapsed="false">
      <c r="D38" s="508"/>
      <c r="E38" s="508"/>
      <c r="F38" s="508"/>
      <c r="G38" s="508"/>
      <c r="R38" s="449"/>
    </row>
    <row r="39" customFormat="false" ht="12.75" hidden="false" customHeight="false" outlineLevel="0" collapsed="false">
      <c r="A39" s="371" t="s">
        <v>322</v>
      </c>
      <c r="D39" s="669"/>
      <c r="E39" s="669"/>
      <c r="F39" s="669"/>
      <c r="G39" s="508"/>
      <c r="R39" s="449"/>
    </row>
    <row r="40" customFormat="false" ht="12.75" hidden="false" customHeight="false" outlineLevel="0" collapsed="false">
      <c r="A40" s="160" t="s">
        <v>323</v>
      </c>
      <c r="D40" s="669" t="n">
        <v>25000</v>
      </c>
      <c r="E40" s="669" t="n">
        <v>64000</v>
      </c>
      <c r="F40" s="669" t="n">
        <v>82000</v>
      </c>
      <c r="G40" s="670" t="n">
        <f aca="false">43000*2</f>
        <v>86000</v>
      </c>
      <c r="H40" s="95" t="n">
        <f aca="false">'Pipeline Co BS'!K102</f>
        <v>89400</v>
      </c>
      <c r="I40" s="95" t="n">
        <f aca="false">'Pipeline Co BS'!L102</f>
        <v>80460</v>
      </c>
      <c r="J40" s="95" t="n">
        <f aca="false">'Pipeline Co BS'!M102</f>
        <v>71520</v>
      </c>
      <c r="K40" s="95" t="n">
        <f aca="false">'Pipeline Co BS'!N102</f>
        <v>62580</v>
      </c>
      <c r="L40" s="95" t="n">
        <f aca="false">'Pipeline Co BS'!O102</f>
        <v>53640</v>
      </c>
      <c r="M40" s="95" t="n">
        <f aca="false">'Pipeline Co BS'!P102</f>
        <v>44700</v>
      </c>
      <c r="N40" s="95" t="n">
        <f aca="false">'Pipeline Co BS'!Q102</f>
        <v>35760</v>
      </c>
      <c r="O40" s="95" t="n">
        <f aca="false">'Pipeline Co BS'!R102</f>
        <v>26820</v>
      </c>
      <c r="P40" s="95" t="n">
        <f aca="false">'Pipeline Co BS'!S102</f>
        <v>17880</v>
      </c>
      <c r="Q40" s="95" t="n">
        <f aca="false">'Pipeline Co BS'!T102</f>
        <v>8940</v>
      </c>
      <c r="R40" s="449"/>
    </row>
    <row r="41" customFormat="false" ht="12.75" hidden="false" customHeight="false" outlineLevel="0" collapsed="false">
      <c r="A41" s="160" t="s">
        <v>324</v>
      </c>
      <c r="D41" s="669" t="n">
        <v>52000</v>
      </c>
      <c r="E41" s="669" t="n">
        <v>14000</v>
      </c>
      <c r="F41" s="669" t="n">
        <v>3000</v>
      </c>
      <c r="G41" s="670" t="n">
        <f aca="false">-1000*2</f>
        <v>-2000</v>
      </c>
      <c r="H41" s="671" t="n">
        <v>0</v>
      </c>
      <c r="I41" s="671" t="n">
        <v>0</v>
      </c>
      <c r="J41" s="671" t="n">
        <v>0</v>
      </c>
      <c r="K41" s="671" t="n">
        <v>0</v>
      </c>
      <c r="L41" s="671" t="n">
        <v>0</v>
      </c>
      <c r="M41" s="671" t="n">
        <v>0</v>
      </c>
      <c r="N41" s="671" t="n">
        <v>0</v>
      </c>
      <c r="O41" s="671" t="n">
        <v>0</v>
      </c>
      <c r="P41" s="671" t="n">
        <v>0</v>
      </c>
      <c r="Q41" s="671" t="n">
        <v>0</v>
      </c>
      <c r="R41" s="449"/>
    </row>
    <row r="42" customFormat="false" ht="12.75" hidden="true" customHeight="false" outlineLevel="1" collapsed="false">
      <c r="A42" s="160" t="s">
        <v>325</v>
      </c>
      <c r="D42" s="669" t="n">
        <v>0</v>
      </c>
      <c r="E42" s="669" t="n">
        <v>0</v>
      </c>
      <c r="F42" s="669" t="n">
        <v>0</v>
      </c>
      <c r="G42" s="670" t="n">
        <v>0</v>
      </c>
      <c r="R42" s="449"/>
    </row>
    <row r="43" customFormat="false" ht="12.75" hidden="true" customHeight="false" outlineLevel="1" collapsed="false">
      <c r="A43" s="0" t="s">
        <v>326</v>
      </c>
      <c r="D43" s="669" t="n">
        <v>0</v>
      </c>
      <c r="E43" s="669" t="n">
        <v>0</v>
      </c>
      <c r="F43" s="669" t="n">
        <v>0</v>
      </c>
      <c r="G43" s="670" t="n">
        <v>0</v>
      </c>
      <c r="R43" s="449"/>
    </row>
    <row r="44" customFormat="false" ht="12.75" hidden="false" customHeight="false" outlineLevel="0" collapsed="false">
      <c r="A44" s="371" t="s">
        <v>327</v>
      </c>
      <c r="D44" s="676" t="n">
        <f aca="false">SUM(D40:D43)</f>
        <v>77000</v>
      </c>
      <c r="E44" s="676" t="n">
        <f aca="false">SUM(E40:E43)</f>
        <v>78000</v>
      </c>
      <c r="F44" s="676" t="n">
        <f aca="false">SUM(F40:F43)</f>
        <v>85000</v>
      </c>
      <c r="G44" s="676" t="n">
        <f aca="false">SUM(G40:G43)</f>
        <v>84000</v>
      </c>
      <c r="H44" s="677" t="n">
        <f aca="false">SUM(H40:H43)</f>
        <v>89400</v>
      </c>
      <c r="I44" s="677" t="n">
        <f aca="false">SUM(I40:I43)</f>
        <v>80460</v>
      </c>
      <c r="J44" s="677" t="n">
        <f aca="false">SUM(J40:J43)</f>
        <v>71520</v>
      </c>
      <c r="K44" s="677" t="n">
        <f aca="false">SUM(K40:K43)</f>
        <v>62580</v>
      </c>
      <c r="L44" s="677" t="n">
        <f aca="false">SUM(L40:L43)</f>
        <v>53640</v>
      </c>
      <c r="M44" s="677" t="n">
        <f aca="false">SUM(M40:M43)</f>
        <v>44700</v>
      </c>
      <c r="N44" s="677" t="n">
        <f aca="false">SUM(N40:N43)</f>
        <v>35760</v>
      </c>
      <c r="O44" s="677" t="n">
        <f aca="false">SUM(O40:O43)</f>
        <v>26820</v>
      </c>
      <c r="P44" s="677" t="n">
        <f aca="false">SUM(P40:P43)</f>
        <v>17880</v>
      </c>
      <c r="Q44" s="677" t="n">
        <f aca="false">SUM(Q40:Q43)</f>
        <v>8940</v>
      </c>
      <c r="R44" s="449"/>
    </row>
    <row r="45" customFormat="false" ht="12.75" hidden="false" customHeight="false" outlineLevel="0" collapsed="false">
      <c r="D45" s="508"/>
      <c r="E45" s="508"/>
      <c r="F45" s="508"/>
      <c r="G45" s="508"/>
      <c r="R45" s="449"/>
    </row>
    <row r="46" customFormat="false" ht="13.5" hidden="false" customHeight="false" outlineLevel="0" collapsed="false">
      <c r="A46" s="371" t="s">
        <v>328</v>
      </c>
      <c r="D46" s="637" t="n">
        <f aca="false">D37+D31-D44</f>
        <v>198000</v>
      </c>
      <c r="E46" s="637" t="n">
        <f aca="false">E37+E31-E44</f>
        <v>156000</v>
      </c>
      <c r="F46" s="637" t="n">
        <f aca="false">F37+F31-F44</f>
        <v>138000</v>
      </c>
      <c r="G46" s="637" t="n">
        <f aca="false">G37+G31-G44</f>
        <v>196000</v>
      </c>
      <c r="H46" s="638" t="n">
        <f aca="false">H37+H31-H44</f>
        <v>199810</v>
      </c>
      <c r="I46" s="638" t="n">
        <f aca="false">I37+I31-I44</f>
        <v>208838</v>
      </c>
      <c r="J46" s="638" t="n">
        <f aca="false">J37+J31-J44</f>
        <v>217817.27725</v>
      </c>
      <c r="K46" s="638" t="n">
        <f aca="false">K37+K31-K44</f>
        <v>226746.06011375</v>
      </c>
      <c r="L46" s="638" t="n">
        <f aca="false">L37+L31-L44</f>
        <v>235622.526797819</v>
      </c>
      <c r="M46" s="638" t="n">
        <f aca="false">M37+M31-M44</f>
        <v>244444.804049076</v>
      </c>
      <c r="N46" s="638" t="n">
        <f aca="false">N37+N31-N44</f>
        <v>253210.965819825</v>
      </c>
      <c r="O46" s="638" t="n">
        <f aca="false">O37+O31-O44</f>
        <v>261919.031899818</v>
      </c>
      <c r="P46" s="638" t="n">
        <f aca="false">P37+P31-P44</f>
        <v>270566.966514342</v>
      </c>
      <c r="Q46" s="638" t="n">
        <f aca="false">Q37+Q31-Q44</f>
        <v>279152.676887578</v>
      </c>
      <c r="R46" s="449"/>
    </row>
    <row r="47" customFormat="false" ht="13.5" hidden="false" customHeight="false" outlineLevel="0" collapsed="false">
      <c r="D47" s="508"/>
      <c r="E47" s="508"/>
      <c r="F47" s="508"/>
      <c r="G47" s="508"/>
      <c r="R47" s="449"/>
    </row>
    <row r="48" customFormat="false" ht="12.75" hidden="false" customHeight="false" outlineLevel="0" collapsed="false">
      <c r="A48" s="371" t="s">
        <v>329</v>
      </c>
      <c r="D48" s="508"/>
      <c r="E48" s="508"/>
      <c r="F48" s="508"/>
      <c r="G48" s="508"/>
      <c r="R48" s="449"/>
    </row>
    <row r="49" customFormat="false" ht="12.75" hidden="false" customHeight="false" outlineLevel="0" collapsed="false">
      <c r="A49" s="160" t="s">
        <v>330</v>
      </c>
      <c r="D49" s="669" t="n">
        <v>57000</v>
      </c>
      <c r="E49" s="669" t="n">
        <v>47000</v>
      </c>
      <c r="F49" s="669" t="n">
        <v>43000</v>
      </c>
      <c r="G49" s="670" t="n">
        <f aca="false">32000*2</f>
        <v>64000</v>
      </c>
      <c r="H49" s="459" t="n">
        <f aca="false">H153</f>
        <v>103228.125</v>
      </c>
      <c r="I49" s="459" t="n">
        <f aca="false">I153</f>
        <v>80333.6573437006</v>
      </c>
      <c r="J49" s="459" t="n">
        <f aca="false">J153</f>
        <v>80317.3600049507</v>
      </c>
      <c r="K49" s="459" t="n">
        <f aca="false">K153</f>
        <v>80281.3081366944</v>
      </c>
      <c r="L49" s="459" t="n">
        <f aca="false">L153</f>
        <v>80224.7972065528</v>
      </c>
      <c r="M49" s="459" t="n">
        <f aca="false">M153</f>
        <v>80147.1028387436</v>
      </c>
      <c r="N49" s="459" t="n">
        <f aca="false">N153</f>
        <v>80047.4802998436</v>
      </c>
      <c r="O49" s="459" t="n">
        <f aca="false">O153</f>
        <v>79925.163971796</v>
      </c>
      <c r="P49" s="459" t="n">
        <f aca="false">P153</f>
        <v>79779.3668118542</v>
      </c>
      <c r="Q49" s="459" t="n">
        <f aca="false">Q153</f>
        <v>79609.2797991516</v>
      </c>
      <c r="R49" s="449"/>
    </row>
    <row r="50" customFormat="false" ht="12.75" hidden="false" customHeight="false" outlineLevel="0" collapsed="false">
      <c r="A50" s="160" t="s">
        <v>331</v>
      </c>
      <c r="D50" s="669" t="n">
        <v>26000</v>
      </c>
      <c r="E50" s="669" t="n">
        <v>29000</v>
      </c>
      <c r="F50" s="669" t="n">
        <v>23000</v>
      </c>
      <c r="G50" s="670" t="n">
        <f aca="false">14000*2</f>
        <v>28000</v>
      </c>
      <c r="R50" s="449"/>
    </row>
    <row r="51" customFormat="false" ht="12.75" hidden="false" customHeight="false" outlineLevel="0" collapsed="false">
      <c r="A51" s="160" t="s">
        <v>279</v>
      </c>
      <c r="D51" s="669" t="n">
        <v>0</v>
      </c>
      <c r="E51" s="669" t="n">
        <v>0</v>
      </c>
      <c r="F51" s="669" t="n">
        <v>0</v>
      </c>
      <c r="G51" s="670" t="n">
        <v>0</v>
      </c>
      <c r="H51" s="459" t="n">
        <f aca="false">H154</f>
        <v>-29412.075</v>
      </c>
      <c r="I51" s="459" t="n">
        <f aca="false">I154</f>
        <v>-3072.93534370061</v>
      </c>
      <c r="J51" s="459" t="n">
        <f aca="false">J154</f>
        <v>368.964656299417</v>
      </c>
      <c r="K51" s="459" t="n">
        <f aca="false">K154</f>
        <v>3810.86465629941</v>
      </c>
      <c r="L51" s="459" t="n">
        <f aca="false">L154</f>
        <v>7252.76465629941</v>
      </c>
      <c r="M51" s="459" t="n">
        <f aca="false">M154</f>
        <v>10694.6646562994</v>
      </c>
      <c r="N51" s="459" t="n">
        <f aca="false">N154</f>
        <v>14136.5646562994</v>
      </c>
      <c r="O51" s="459" t="n">
        <f aca="false">O154</f>
        <v>17578.4646562994</v>
      </c>
      <c r="P51" s="459" t="n">
        <f aca="false">P154</f>
        <v>21020.3646562994</v>
      </c>
      <c r="Q51" s="459" t="n">
        <f aca="false">Q154</f>
        <v>24462.2646562994</v>
      </c>
      <c r="R51" s="449"/>
    </row>
    <row r="52" customFormat="false" ht="12.75" hidden="true" customHeight="false" outlineLevel="1" collapsed="false">
      <c r="A52" s="160" t="s">
        <v>332</v>
      </c>
      <c r="D52" s="669" t="n">
        <v>0</v>
      </c>
      <c r="E52" s="669" t="n">
        <v>0</v>
      </c>
      <c r="F52" s="669" t="n">
        <v>0</v>
      </c>
      <c r="G52" s="670" t="n">
        <v>0</v>
      </c>
      <c r="R52" s="449"/>
    </row>
    <row r="53" customFormat="false" ht="12.75" hidden="false" customHeight="false" outlineLevel="0" collapsed="false">
      <c r="A53" s="371" t="s">
        <v>333</v>
      </c>
      <c r="D53" s="676" t="n">
        <f aca="false">SUM(D49:D52)</f>
        <v>83000</v>
      </c>
      <c r="E53" s="676" t="n">
        <f aca="false">SUM(E49:E52)</f>
        <v>76000</v>
      </c>
      <c r="F53" s="676" t="n">
        <f aca="false">SUM(F49:F52)</f>
        <v>66000</v>
      </c>
      <c r="G53" s="676" t="n">
        <f aca="false">SUM(G49:G52)</f>
        <v>92000</v>
      </c>
      <c r="H53" s="677" t="n">
        <f aca="false">SUM(H49:H52)</f>
        <v>73816.05</v>
      </c>
      <c r="I53" s="677" t="n">
        <f aca="false">SUM(I49:I52)</f>
        <v>77260.722</v>
      </c>
      <c r="J53" s="677" t="n">
        <f aca="false">SUM(J49:J52)</f>
        <v>80686.3246612501</v>
      </c>
      <c r="K53" s="677" t="n">
        <f aca="false">SUM(K49:K52)</f>
        <v>84092.1727929938</v>
      </c>
      <c r="L53" s="677" t="n">
        <f aca="false">SUM(L49:L52)</f>
        <v>87477.5618628522</v>
      </c>
      <c r="M53" s="677" t="n">
        <f aca="false">SUM(M49:M52)</f>
        <v>90841.7674950431</v>
      </c>
      <c r="N53" s="677" t="n">
        <f aca="false">SUM(N49:N52)</f>
        <v>94184.044956143</v>
      </c>
      <c r="O53" s="677" t="n">
        <f aca="false">SUM(O49:O52)</f>
        <v>97503.6286280954</v>
      </c>
      <c r="P53" s="677" t="n">
        <f aca="false">SUM(P49:P52)</f>
        <v>100799.731468154</v>
      </c>
      <c r="Q53" s="677" t="n">
        <f aca="false">SUM(Q49:Q52)</f>
        <v>104071.544455451</v>
      </c>
      <c r="R53" s="449"/>
    </row>
    <row r="54" customFormat="false" ht="12.75" hidden="false" customHeight="false" outlineLevel="0" collapsed="false">
      <c r="D54" s="508"/>
      <c r="E54" s="508"/>
      <c r="F54" s="508"/>
      <c r="G54" s="508"/>
      <c r="R54" s="449"/>
    </row>
    <row r="55" customFormat="false" ht="13.5" hidden="false" customHeight="false" outlineLevel="0" collapsed="false">
      <c r="A55" s="371" t="s">
        <v>237</v>
      </c>
      <c r="D55" s="637" t="n">
        <f aca="false">D46-D53</f>
        <v>115000</v>
      </c>
      <c r="E55" s="637" t="n">
        <f aca="false">E46-E53</f>
        <v>80000</v>
      </c>
      <c r="F55" s="637" t="n">
        <f aca="false">F46-F53</f>
        <v>72000</v>
      </c>
      <c r="G55" s="637" t="n">
        <f aca="false">G46-G53</f>
        <v>104000</v>
      </c>
      <c r="H55" s="638" t="n">
        <f aca="false">H46-H53</f>
        <v>125993.95</v>
      </c>
      <c r="I55" s="638" t="n">
        <f aca="false">I46-I53</f>
        <v>131577.278</v>
      </c>
      <c r="J55" s="638" t="n">
        <f aca="false">J46-J53</f>
        <v>137130.95258875</v>
      </c>
      <c r="K55" s="638" t="n">
        <f aca="false">K46-K53</f>
        <v>142653.887320756</v>
      </c>
      <c r="L55" s="638" t="n">
        <f aca="false">L46-L53</f>
        <v>148144.964934967</v>
      </c>
      <c r="M55" s="638" t="n">
        <f aca="false">M46-M53</f>
        <v>153603.036554033</v>
      </c>
      <c r="N55" s="638" t="n">
        <f aca="false">N46-N53</f>
        <v>159026.920863682</v>
      </c>
      <c r="O55" s="638" t="n">
        <f aca="false">O46-O53</f>
        <v>164415.403271722</v>
      </c>
      <c r="P55" s="638" t="n">
        <f aca="false">P46-P53</f>
        <v>169767.235046188</v>
      </c>
      <c r="Q55" s="638" t="n">
        <f aca="false">Q46-Q53</f>
        <v>175081.132432127</v>
      </c>
      <c r="R55" s="449"/>
    </row>
    <row r="56" customFormat="false" ht="13.5" hidden="false" customHeight="false" outlineLevel="0" collapsed="false">
      <c r="G56" s="449"/>
      <c r="R56" s="449"/>
    </row>
    <row r="57" customFormat="false" ht="12.75" hidden="false" customHeight="false" outlineLevel="0" collapsed="false">
      <c r="A57" s="643"/>
      <c r="B57" s="17"/>
      <c r="C57" s="17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6"/>
      <c r="O57" s="426"/>
      <c r="P57" s="426"/>
      <c r="Q57" s="426"/>
      <c r="R57" s="95"/>
    </row>
    <row r="58" customFormat="false" ht="15.75" hidden="false" customHeight="false" outlineLevel="0" collapsed="false">
      <c r="A58" s="497" t="s">
        <v>334</v>
      </c>
      <c r="B58" s="498"/>
      <c r="C58" s="131"/>
      <c r="D58" s="499"/>
      <c r="E58" s="499"/>
      <c r="F58" s="131"/>
      <c r="G58" s="500"/>
      <c r="H58" s="500"/>
      <c r="I58" s="500"/>
      <c r="J58" s="131"/>
      <c r="K58" s="131"/>
      <c r="L58" s="131"/>
      <c r="M58" s="131"/>
      <c r="N58" s="131"/>
      <c r="O58" s="131"/>
      <c r="P58" s="131"/>
      <c r="Q58" s="131"/>
      <c r="R58" s="95"/>
    </row>
    <row r="59" customFormat="false" ht="12.75" hidden="false" customHeight="false" outlineLevel="0" collapsed="false">
      <c r="A59" s="643"/>
      <c r="C59" s="17"/>
      <c r="D59" s="505"/>
      <c r="E59" s="505"/>
      <c r="F59" s="295"/>
      <c r="G59" s="306" t="s">
        <v>192</v>
      </c>
      <c r="H59" s="307"/>
      <c r="I59" s="295"/>
      <c r="J59" s="295"/>
      <c r="K59" s="176"/>
      <c r="L59" s="295"/>
      <c r="M59" s="176"/>
      <c r="N59" s="176"/>
      <c r="O59" s="176"/>
      <c r="P59" s="176"/>
      <c r="Q59" s="103"/>
      <c r="R59" s="95"/>
    </row>
    <row r="60" customFormat="false" ht="12.75" hidden="false" customHeight="false" outlineLevel="0" collapsed="false">
      <c r="A60" s="643"/>
      <c r="C60" s="17"/>
      <c r="D60" s="308" t="n">
        <v>1998</v>
      </c>
      <c r="E60" s="308" t="n">
        <v>1999</v>
      </c>
      <c r="F60" s="308" t="n">
        <v>2000</v>
      </c>
      <c r="G60" s="308" t="n">
        <v>2001</v>
      </c>
      <c r="H60" s="309" t="n">
        <v>2002</v>
      </c>
      <c r="I60" s="309" t="n">
        <v>2003</v>
      </c>
      <c r="J60" s="309" t="n">
        <v>2004</v>
      </c>
      <c r="K60" s="309" t="n">
        <v>2005</v>
      </c>
      <c r="L60" s="309" t="n">
        <v>2006</v>
      </c>
      <c r="M60" s="310" t="n">
        <v>2007</v>
      </c>
      <c r="N60" s="310" t="n">
        <v>2008</v>
      </c>
      <c r="O60" s="310" t="n">
        <v>2009</v>
      </c>
      <c r="P60" s="310" t="n">
        <v>2010</v>
      </c>
      <c r="Q60" s="441" t="n">
        <v>2011</v>
      </c>
      <c r="R60" s="95"/>
    </row>
    <row r="61" customFormat="false" ht="12.75" hidden="false" customHeight="false" outlineLevel="0" collapsed="false">
      <c r="A61" s="643"/>
      <c r="C61" s="17"/>
      <c r="F61" s="312" t="s">
        <v>193</v>
      </c>
      <c r="G61" s="308" t="n">
        <v>1</v>
      </c>
      <c r="H61" s="309" t="n">
        <v>2</v>
      </c>
      <c r="I61" s="309" t="n">
        <v>3</v>
      </c>
      <c r="J61" s="309" t="n">
        <v>4</v>
      </c>
      <c r="K61" s="309" t="n">
        <v>5</v>
      </c>
      <c r="L61" s="309" t="n">
        <v>6</v>
      </c>
      <c r="M61" s="309" t="n">
        <v>7</v>
      </c>
      <c r="N61" s="309" t="n">
        <v>8</v>
      </c>
      <c r="O61" s="309" t="n">
        <v>9</v>
      </c>
      <c r="P61" s="309" t="n">
        <v>10</v>
      </c>
      <c r="Q61" s="387" t="n">
        <v>11</v>
      </c>
      <c r="R61" s="95"/>
    </row>
    <row r="62" customFormat="false" ht="12.75" hidden="false" customHeight="false" outlineLevel="0" collapsed="false">
      <c r="A62" s="371" t="s">
        <v>335</v>
      </c>
      <c r="C62" s="17"/>
      <c r="F62" s="312"/>
      <c r="G62" s="392"/>
      <c r="H62" s="393"/>
      <c r="I62" s="393"/>
      <c r="J62" s="393"/>
      <c r="K62" s="393"/>
      <c r="L62" s="393"/>
      <c r="M62" s="393"/>
      <c r="N62" s="393"/>
      <c r="O62" s="393"/>
      <c r="P62" s="393"/>
      <c r="Q62" s="404"/>
      <c r="R62" s="95"/>
    </row>
    <row r="63" customFormat="false" ht="12.75" hidden="false" customHeight="false" outlineLevel="0" collapsed="false">
      <c r="A63" s="0" t="s">
        <v>336</v>
      </c>
      <c r="C63" s="17"/>
      <c r="D63" s="631"/>
      <c r="E63" s="681" t="n">
        <f aca="false">(E17/D17)-1</f>
        <v>-0.0504032258064516</v>
      </c>
      <c r="F63" s="681" t="n">
        <f aca="false">(F17/E17)-1</f>
        <v>0.0254777070063694</v>
      </c>
      <c r="G63" s="681" t="n">
        <f aca="false">(G17/F17)-1</f>
        <v>0.118012422360248</v>
      </c>
      <c r="H63" s="277" t="n">
        <f aca="false">(H17/G17)-1</f>
        <v>0.0124814814814815</v>
      </c>
      <c r="I63" s="277" t="n">
        <f aca="false">(I17/H17)-1</f>
        <v>0.0125064930314225</v>
      </c>
      <c r="J63" s="277" t="n">
        <f aca="false">(J17/I17)-1</f>
        <v>0.0125317416991797</v>
      </c>
      <c r="K63" s="277" t="n">
        <f aca="false">(K17/J17)-1</f>
        <v>0.0125572291903346</v>
      </c>
      <c r="L63" s="277" t="n">
        <f aca="false">(L17/K17)-1</f>
        <v>0.0125829572066476</v>
      </c>
      <c r="M63" s="277" t="n">
        <f aca="false">(M17/L17)-1</f>
        <v>0.0126089274455317</v>
      </c>
      <c r="N63" s="277" t="n">
        <f aca="false">(N17/M17)-1</f>
        <v>0.0126351415995158</v>
      </c>
      <c r="O63" s="277" t="n">
        <f aca="false">(O17/N17)-1</f>
        <v>0.0126616013557008</v>
      </c>
      <c r="P63" s="277" t="n">
        <f aca="false">(P17/O17)-1</f>
        <v>0.0126883083951952</v>
      </c>
      <c r="Q63" s="277" t="n">
        <f aca="false">(Q17/P17)-1</f>
        <v>0.0127152643925454</v>
      </c>
      <c r="R63" s="95"/>
    </row>
    <row r="64" customFormat="false" ht="12.75" hidden="false" customHeight="false" outlineLevel="0" collapsed="false">
      <c r="A64" s="0" t="s">
        <v>337</v>
      </c>
      <c r="C64" s="17"/>
      <c r="D64" s="631"/>
      <c r="E64" s="681" t="n">
        <f aca="false">(E33/D33)-1</f>
        <v>-0.0684039087947883</v>
      </c>
      <c r="F64" s="681" t="n">
        <f aca="false">(F33/E33)-1</f>
        <v>-0.0209790209790209</v>
      </c>
      <c r="G64" s="681" t="n">
        <f aca="false">(G33/F33)-1</f>
        <v>0.207142857142857</v>
      </c>
      <c r="H64" s="277" t="n">
        <f aca="false">(H33/G33)-1</f>
        <v>0.00464497041420109</v>
      </c>
      <c r="I64" s="277" t="n">
        <f aca="false">(I33/H33)-1</f>
        <v>0.00452734340489425</v>
      </c>
      <c r="J64" s="277" t="n">
        <f aca="false">(J33/I33)-1</f>
        <v>0.00440659150264633</v>
      </c>
      <c r="K64" s="277" t="n">
        <f aca="false">(K33/J33)-1</f>
        <v>0.00428260349293508</v>
      </c>
      <c r="L64" s="277" t="n">
        <f aca="false">(L33/K33)-1</f>
        <v>0.0041552628685444</v>
      </c>
      <c r="M64" s="277" t="n">
        <f aca="false">(M33/L33)-1</f>
        <v>0.00402444750970621</v>
      </c>
      <c r="N64" s="277" t="n">
        <f aca="false">(N33/M33)-1</f>
        <v>0.00389002934074223</v>
      </c>
      <c r="O64" s="277" t="n">
        <f aca="false">(O33/N33)-1</f>
        <v>0.00375187396118482</v>
      </c>
      <c r="P64" s="277" t="n">
        <f aca="false">(P33/O33)-1</f>
        <v>0.00360984024910804</v>
      </c>
      <c r="Q64" s="277" t="n">
        <f aca="false">(Q33/P33)-1</f>
        <v>0.00346377993421765</v>
      </c>
      <c r="R64" s="95"/>
    </row>
    <row r="65" customFormat="false" ht="12.75" hidden="false" customHeight="false" outlineLevel="0" collapsed="false">
      <c r="A65" s="0" t="s">
        <v>338</v>
      </c>
      <c r="C65" s="53"/>
      <c r="D65" s="508"/>
      <c r="E65" s="682" t="n">
        <f aca="false">(E37/D37)-1</f>
        <v>-0.0916334661354582</v>
      </c>
      <c r="F65" s="682" t="n">
        <f aca="false">(F37/E37)-1</f>
        <v>-0.0570175438596491</v>
      </c>
      <c r="G65" s="682" t="n">
        <f aca="false">(G37/F37)-1</f>
        <v>0.265116279069767</v>
      </c>
      <c r="H65" s="683" t="n">
        <f aca="false">(H37/G37)-1</f>
        <v>0.0335661764705881</v>
      </c>
      <c r="I65" s="683" t="n">
        <f aca="false">(I37/H37)-1</f>
        <v>2.56109273288896E-005</v>
      </c>
      <c r="J65" s="683" t="n">
        <f aca="false">(J37/I37)-1</f>
        <v>-0.00015056972182903</v>
      </c>
      <c r="K65" s="683" t="n">
        <f aca="false">(K37/J37)-1</f>
        <v>-0.000333130293341255</v>
      </c>
      <c r="L65" s="683" t="n">
        <f aca="false">(L37/K37)-1</f>
        <v>-0.000522352296317252</v>
      </c>
      <c r="M65" s="683" t="n">
        <f aca="false">(M37/L37)-1</f>
        <v>-0.000718534298958073</v>
      </c>
      <c r="N65" s="683" t="n">
        <f aca="false">(N37/M37)-1</f>
        <v>-0.00092199324644282</v>
      </c>
      <c r="O65" s="683" t="n">
        <f aca="false">(O37/N37)-1</f>
        <v>-0.00113306590276929</v>
      </c>
      <c r="P65" s="683" t="n">
        <f aca="false">(P37/O37)-1</f>
        <v>-0.00135211043040595</v>
      </c>
      <c r="Q65" s="683" t="n">
        <f aca="false">(Q37/P37)-1</f>
        <v>-0.0015795081233283</v>
      </c>
      <c r="R65" s="684"/>
    </row>
    <row r="66" customFormat="false" ht="12.75" hidden="false" customHeight="false" outlineLevel="0" collapsed="false">
      <c r="A66" s="0" t="s">
        <v>339</v>
      </c>
      <c r="C66" s="53"/>
      <c r="D66" s="523"/>
      <c r="E66" s="682" t="n">
        <f aca="false">(E55/D55)-1</f>
        <v>-0.304347826086957</v>
      </c>
      <c r="F66" s="682" t="n">
        <f aca="false">(F55/E55)-1</f>
        <v>-0.1</v>
      </c>
      <c r="G66" s="682" t="n">
        <f aca="false">(G55/F55)-1</f>
        <v>0.444444444444444</v>
      </c>
      <c r="H66" s="683" t="n">
        <f aca="false">(H55/G55)-1</f>
        <v>0.211480288461538</v>
      </c>
      <c r="I66" s="683" t="n">
        <f aca="false">(I55/H55)-1</f>
        <v>0.0443142547717565</v>
      </c>
      <c r="J66" s="683" t="n">
        <f aca="false">(J55/I55)-1</f>
        <v>0.042208462381705</v>
      </c>
      <c r="K66" s="683" t="n">
        <f aca="false">(K55/J55)-1</f>
        <v>0.0402748951111667</v>
      </c>
      <c r="L66" s="683" t="n">
        <f aca="false">(L55/K55)-1</f>
        <v>0.0384923097248902</v>
      </c>
      <c r="M66" s="683" t="n">
        <f aca="false">(M55/L55)-1</f>
        <v>0.0368427750579445</v>
      </c>
      <c r="N66" s="683" t="n">
        <f aca="false">(N55/M55)-1</f>
        <v>0.0353110487352992</v>
      </c>
      <c r="O66" s="683" t="n">
        <f aca="false">(O55/N55)-1</f>
        <v>0.0338840894282262</v>
      </c>
      <c r="P66" s="683" t="n">
        <f aca="false">(P55/O55)-1</f>
        <v>0.0325506714575927</v>
      </c>
      <c r="Q66" s="683" t="n">
        <f aca="false">(Q55/P55)-1</f>
        <v>0.0313010775282601</v>
      </c>
      <c r="R66" s="684"/>
    </row>
    <row r="67" customFormat="false" ht="12.75" hidden="false" customHeight="false" outlineLevel="0" collapsed="false">
      <c r="C67" s="53"/>
      <c r="D67" s="523"/>
      <c r="E67" s="523"/>
      <c r="F67" s="523"/>
      <c r="G67" s="523"/>
      <c r="H67" s="524"/>
      <c r="I67" s="524"/>
      <c r="J67" s="524"/>
      <c r="K67" s="524"/>
      <c r="L67" s="524"/>
      <c r="M67" s="524"/>
      <c r="N67" s="524"/>
      <c r="O67" s="524"/>
      <c r="P67" s="524"/>
      <c r="Q67" s="524"/>
      <c r="R67" s="684"/>
    </row>
    <row r="68" customFormat="false" ht="12.75" hidden="false" customHeight="false" outlineLevel="0" collapsed="false">
      <c r="A68" s="371" t="s">
        <v>340</v>
      </c>
      <c r="C68" s="53"/>
      <c r="D68" s="523"/>
      <c r="E68" s="523"/>
      <c r="F68" s="523"/>
      <c r="G68" s="523"/>
      <c r="H68" s="524"/>
      <c r="I68" s="524"/>
      <c r="J68" s="524"/>
      <c r="K68" s="524"/>
      <c r="L68" s="524"/>
      <c r="M68" s="524"/>
      <c r="N68" s="524"/>
      <c r="O68" s="524"/>
      <c r="P68" s="524"/>
      <c r="Q68" s="524"/>
      <c r="R68" s="684"/>
    </row>
    <row r="69" customFormat="false" ht="12.75" hidden="false" customHeight="false" outlineLevel="0" collapsed="false">
      <c r="A69" s="0" t="s">
        <v>341</v>
      </c>
      <c r="B69" s="53"/>
      <c r="C69" s="53"/>
      <c r="D69" s="681" t="n">
        <f aca="false">D33/D17</f>
        <v>0.618951612903226</v>
      </c>
      <c r="E69" s="681" t="n">
        <f aca="false">E33/E17</f>
        <v>0.607218683651805</v>
      </c>
      <c r="F69" s="681" t="n">
        <f aca="false">F33/F17</f>
        <v>0.579710144927536</v>
      </c>
      <c r="G69" s="681" t="n">
        <f aca="false">G33/G17</f>
        <v>0.625925925925926</v>
      </c>
      <c r="H69" s="277" t="n">
        <f aca="false">H33/H17</f>
        <v>0.621081318359732</v>
      </c>
      <c r="I69" s="277" t="n">
        <f aca="false">I33/I17</f>
        <v>0.616186830468997</v>
      </c>
      <c r="J69" s="277" t="n">
        <f aca="false">J33/J17</f>
        <v>0.611242184942838</v>
      </c>
      <c r="K69" s="277" t="n">
        <f aca="false">K33/K17</f>
        <v>0.606247108965841</v>
      </c>
      <c r="L69" s="277" t="n">
        <f aca="false">L33/L17</f>
        <v>0.601201334403511</v>
      </c>
      <c r="M69" s="277" t="n">
        <f aca="false">M33/M17</f>
        <v>0.596104597990572</v>
      </c>
      <c r="N69" s="277" t="n">
        <f aca="false">N33/N17</f>
        <v>0.590956641522101</v>
      </c>
      <c r="O69" s="277" t="n">
        <f aca="false">O33/O17</f>
        <v>0.585757212047445</v>
      </c>
      <c r="P69" s="277" t="n">
        <f aca="false">P33/P17</f>
        <v>0.580506062066914</v>
      </c>
      <c r="Q69" s="277" t="n">
        <f aca="false">Q33/Q17</f>
        <v>0.575202949731189</v>
      </c>
    </row>
    <row r="70" customFormat="false" ht="12.75" hidden="false" customHeight="false" outlineLevel="0" collapsed="false">
      <c r="A70" s="685" t="s">
        <v>342</v>
      </c>
      <c r="B70" s="53"/>
      <c r="C70" s="53"/>
      <c r="D70" s="681" t="n">
        <f aca="false">D37/D17</f>
        <v>0.506048387096774</v>
      </c>
      <c r="E70" s="681" t="n">
        <f aca="false">E37/E17</f>
        <v>0.484076433121019</v>
      </c>
      <c r="F70" s="681" t="n">
        <f aca="false">F37/F17</f>
        <v>0.445134575569358</v>
      </c>
      <c r="G70" s="681" t="n">
        <f aca="false">G37/G17</f>
        <v>0.503703703703704</v>
      </c>
      <c r="H70" s="277" t="n">
        <f aca="false">H37/H17</f>
        <v>0.514193217982954</v>
      </c>
      <c r="I70" s="277" t="n">
        <f aca="false">I37/I17</f>
        <v>0.507854903140986</v>
      </c>
      <c r="J70" s="277" t="n">
        <f aca="false">J37/J17</f>
        <v>0.501493844249625</v>
      </c>
      <c r="K70" s="277" t="n">
        <f aca="false">K37/K17</f>
        <v>0.495109577025147</v>
      </c>
      <c r="L70" s="277" t="n">
        <f aca="false">L37/L17</f>
        <v>0.488701643533262</v>
      </c>
      <c r="M70" s="277" t="n">
        <f aca="false">M37/M17</f>
        <v>0.482269592341407</v>
      </c>
      <c r="N70" s="277" t="n">
        <f aca="false">N37/N17</f>
        <v>0.475812978673872</v>
      </c>
      <c r="O70" s="277" t="n">
        <f aca="false">O37/O17</f>
        <v>0.469331364569733</v>
      </c>
      <c r="P70" s="277" t="n">
        <f aca="false">P37/P17</f>
        <v>0.46282431904356</v>
      </c>
      <c r="Q70" s="277" t="n">
        <f aca="false">Q37/Q17</f>
        <v>0.456291418248873</v>
      </c>
    </row>
    <row r="71" customFormat="false" ht="12.75" hidden="false" customHeight="false" outlineLevel="0" collapsed="false">
      <c r="A71" s="685" t="s">
        <v>343</v>
      </c>
      <c r="B71" s="53"/>
      <c r="C71" s="53"/>
      <c r="D71" s="686" t="n">
        <f aca="false">D17/D25</f>
        <v>2.32863849765258</v>
      </c>
      <c r="E71" s="686" t="n">
        <f aca="false">E17/E25</f>
        <v>2.46596858638743</v>
      </c>
      <c r="F71" s="686" t="n">
        <f aca="false">F17/F25</f>
        <v>2.28909952606635</v>
      </c>
      <c r="G71" s="686" t="n">
        <f aca="false">G17/G25</f>
        <v>2.57142857142857</v>
      </c>
      <c r="H71" s="687" t="n">
        <f aca="false">H17/H25</f>
        <v>2.54002322880372</v>
      </c>
      <c r="I71" s="687" t="n">
        <f aca="false">I17/I25</f>
        <v>2.50906342596527</v>
      </c>
      <c r="J71" s="687" t="n">
        <f aca="false">J17/J25</f>
        <v>2.47854279095251</v>
      </c>
      <c r="K71" s="687" t="n">
        <f aca="false">K17/K25</f>
        <v>2.44845504471859</v>
      </c>
      <c r="L71" s="687" t="n">
        <f aca="false">L17/L25</f>
        <v>2.41879399977433</v>
      </c>
      <c r="M71" s="687" t="n">
        <f aca="false">M17/M25</f>
        <v>2.38955355885187</v>
      </c>
      <c r="N71" s="687" t="n">
        <f aca="false">N17/N25</f>
        <v>2.3607277135879</v>
      </c>
      <c r="O71" s="687" t="n">
        <f aca="false">O17/O25</f>
        <v>2.33231054322605</v>
      </c>
      <c r="P71" s="687" t="n">
        <f aca="false">P17/P25</f>
        <v>2.30429621333841</v>
      </c>
      <c r="Q71" s="687" t="n">
        <f aca="false">Q17/Q25</f>
        <v>2.27667897456561</v>
      </c>
    </row>
    <row r="72" customFormat="false" ht="12.75" hidden="false" customHeight="false" outlineLevel="0" collapsed="false">
      <c r="A72" s="688"/>
      <c r="B72" s="53"/>
      <c r="C72" s="53"/>
      <c r="D72" s="689"/>
      <c r="E72" s="689"/>
      <c r="F72" s="689"/>
      <c r="G72" s="689"/>
      <c r="H72" s="689"/>
      <c r="I72" s="689"/>
      <c r="J72" s="689"/>
      <c r="K72" s="689"/>
      <c r="L72" s="689"/>
      <c r="M72" s="689"/>
      <c r="N72" s="689"/>
      <c r="O72" s="689"/>
      <c r="P72" s="689"/>
      <c r="Q72" s="689"/>
    </row>
    <row r="73" customFormat="false" ht="12.75" hidden="false" customHeight="false" outlineLevel="0" collapsed="false">
      <c r="A73" s="688"/>
      <c r="B73" s="53"/>
      <c r="C73" s="53"/>
      <c r="D73" s="689"/>
      <c r="E73" s="689"/>
      <c r="F73" s="689"/>
      <c r="G73" s="689"/>
      <c r="H73" s="689"/>
      <c r="I73" s="689"/>
      <c r="J73" s="689"/>
      <c r="K73" s="689"/>
      <c r="L73" s="689"/>
      <c r="M73" s="689"/>
      <c r="N73" s="689"/>
      <c r="O73" s="689"/>
      <c r="P73" s="689"/>
      <c r="Q73" s="689"/>
    </row>
    <row r="74" customFormat="false" ht="15.75" hidden="false" customHeight="false" outlineLevel="0" collapsed="false">
      <c r="A74" s="497" t="s">
        <v>344</v>
      </c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449"/>
    </row>
    <row r="75" customFormat="false" ht="12.75" hidden="false" customHeight="false" outlineLevel="0" collapsed="false">
      <c r="D75" s="505"/>
      <c r="E75" s="505"/>
      <c r="F75" s="295"/>
      <c r="G75" s="306" t="s">
        <v>192</v>
      </c>
      <c r="H75" s="307"/>
      <c r="I75" s="295"/>
      <c r="J75" s="295"/>
      <c r="K75" s="176"/>
      <c r="L75" s="295"/>
      <c r="M75" s="176"/>
      <c r="N75" s="176"/>
      <c r="O75" s="176"/>
      <c r="P75" s="176"/>
      <c r="Q75" s="103"/>
      <c r="R75" s="449"/>
    </row>
    <row r="76" customFormat="false" ht="12.75" hidden="false" customHeight="false" outlineLevel="0" collapsed="false">
      <c r="D76" s="308" t="n">
        <v>1998</v>
      </c>
      <c r="E76" s="308" t="n">
        <v>1999</v>
      </c>
      <c r="F76" s="308" t="n">
        <v>2000</v>
      </c>
      <c r="G76" s="308" t="n">
        <v>2001</v>
      </c>
      <c r="H76" s="309" t="n">
        <v>2002</v>
      </c>
      <c r="I76" s="309" t="n">
        <v>2003</v>
      </c>
      <c r="J76" s="309" t="n">
        <v>2004</v>
      </c>
      <c r="K76" s="309" t="n">
        <v>2005</v>
      </c>
      <c r="L76" s="309" t="n">
        <v>2006</v>
      </c>
      <c r="M76" s="310" t="n">
        <v>2007</v>
      </c>
      <c r="N76" s="310" t="n">
        <v>2008</v>
      </c>
      <c r="O76" s="310" t="n">
        <v>2009</v>
      </c>
      <c r="P76" s="310" t="n">
        <v>2010</v>
      </c>
      <c r="Q76" s="690" t="n">
        <v>2011</v>
      </c>
      <c r="R76" s="449"/>
    </row>
    <row r="77" customFormat="false" ht="12.75" hidden="false" customHeight="false" outlineLevel="0" collapsed="false">
      <c r="D77" s="392"/>
      <c r="E77" s="392"/>
      <c r="F77" s="312" t="s">
        <v>193</v>
      </c>
      <c r="G77" s="308" t="n">
        <v>1</v>
      </c>
      <c r="H77" s="309" t="n">
        <v>2</v>
      </c>
      <c r="I77" s="309" t="n">
        <v>3</v>
      </c>
      <c r="J77" s="309" t="n">
        <v>4</v>
      </c>
      <c r="K77" s="309" t="n">
        <v>5</v>
      </c>
      <c r="L77" s="309" t="n">
        <v>6</v>
      </c>
      <c r="M77" s="309" t="n">
        <v>7</v>
      </c>
      <c r="N77" s="309" t="n">
        <v>8</v>
      </c>
      <c r="O77" s="309" t="n">
        <v>9</v>
      </c>
      <c r="P77" s="309" t="n">
        <v>10</v>
      </c>
      <c r="Q77" s="387" t="n">
        <v>11</v>
      </c>
      <c r="R77" s="449"/>
    </row>
    <row r="78" customFormat="false" ht="12.75" hidden="false" customHeight="false" outlineLevel="0" collapsed="false">
      <c r="A78" s="371" t="s">
        <v>312</v>
      </c>
      <c r="B78" s="507" t="s">
        <v>268</v>
      </c>
      <c r="C78" s="270"/>
      <c r="F78" s="463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449"/>
    </row>
    <row r="79" customFormat="false" ht="12.75" hidden="false" customHeight="false" outlineLevel="0" collapsed="false">
      <c r="A79" s="691" t="s">
        <v>345</v>
      </c>
      <c r="B79" s="692" t="n">
        <v>1</v>
      </c>
      <c r="C79" s="270"/>
      <c r="D79" s="669" t="n">
        <v>468000</v>
      </c>
      <c r="E79" s="669" t="n">
        <v>441000</v>
      </c>
      <c r="F79" s="669" t="n">
        <v>425000</v>
      </c>
      <c r="G79" s="670" t="n">
        <f aca="false">212000*2</f>
        <v>424000</v>
      </c>
      <c r="H79" s="671" t="n">
        <f aca="false">G79*H88*$B$79</f>
        <v>428240</v>
      </c>
      <c r="I79" s="671" t="n">
        <f aca="false">H79*I88*$B$79</f>
        <v>432522.4</v>
      </c>
      <c r="J79" s="671" t="n">
        <f aca="false">I79*J88*$B$79</f>
        <v>436847.624</v>
      </c>
      <c r="K79" s="671" t="n">
        <f aca="false">J79*K88*$B$79</f>
        <v>441216.10024</v>
      </c>
      <c r="L79" s="671" t="n">
        <f aca="false">K79*L88*$B$79</f>
        <v>445628.2612424</v>
      </c>
      <c r="M79" s="671" t="n">
        <f aca="false">L79*M88*$B$79</f>
        <v>450084.543854824</v>
      </c>
      <c r="N79" s="671" t="n">
        <f aca="false">M79*N88*$B$79</f>
        <v>454585.389293372</v>
      </c>
      <c r="O79" s="671" t="n">
        <f aca="false">N79*O88*$B$79</f>
        <v>459131.243186306</v>
      </c>
      <c r="P79" s="671" t="n">
        <f aca="false">O79*P88*$B$79</f>
        <v>463722.555618169</v>
      </c>
      <c r="Q79" s="671" t="n">
        <f aca="false">P79*Q88*$B$79</f>
        <v>468359.781174351</v>
      </c>
      <c r="R79" s="449"/>
    </row>
    <row r="80" customFormat="false" ht="12.75" hidden="false" customHeight="false" outlineLevel="0" collapsed="false">
      <c r="A80" s="691" t="s">
        <v>346</v>
      </c>
      <c r="B80" s="692" t="n">
        <v>1</v>
      </c>
      <c r="C80" s="270"/>
      <c r="D80" s="669" t="n">
        <v>0</v>
      </c>
      <c r="E80" s="669" t="n">
        <v>0</v>
      </c>
      <c r="F80" s="669" t="n">
        <v>0</v>
      </c>
      <c r="G80" s="670" t="n">
        <f aca="false">49000*2</f>
        <v>98000</v>
      </c>
      <c r="H80" s="671" t="n">
        <f aca="false">G80*H89*$B$80</f>
        <v>99960</v>
      </c>
      <c r="I80" s="671" t="n">
        <f aca="false">H80*I89*$B$80</f>
        <v>101959.2</v>
      </c>
      <c r="J80" s="671" t="n">
        <f aca="false">I80*J89*$B$80</f>
        <v>103998.384</v>
      </c>
      <c r="K80" s="671" t="n">
        <f aca="false">J80*K89*$B$80</f>
        <v>106078.35168</v>
      </c>
      <c r="L80" s="671" t="n">
        <f aca="false">K80*L89*$B$80</f>
        <v>108199.9187136</v>
      </c>
      <c r="M80" s="671" t="n">
        <f aca="false">L80*M89*$B$80</f>
        <v>110363.917087872</v>
      </c>
      <c r="N80" s="671" t="n">
        <f aca="false">M80*N89*$B$80</f>
        <v>112571.195429629</v>
      </c>
      <c r="O80" s="671" t="n">
        <f aca="false">N80*O89*$B$80</f>
        <v>114822.619338222</v>
      </c>
      <c r="P80" s="671" t="n">
        <f aca="false">O80*P89*$B$80</f>
        <v>117119.071724987</v>
      </c>
      <c r="Q80" s="671" t="n">
        <f aca="false">P80*Q89*$B$80</f>
        <v>119461.453159486</v>
      </c>
      <c r="R80" s="449"/>
    </row>
    <row r="81" customFormat="false" ht="12.75" hidden="false" customHeight="false" outlineLevel="0" collapsed="false">
      <c r="A81" s="691" t="s">
        <v>347</v>
      </c>
      <c r="B81" s="692" t="n">
        <v>1</v>
      </c>
      <c r="C81" s="270"/>
      <c r="D81" s="669" t="n">
        <v>28000</v>
      </c>
      <c r="E81" s="669" t="n">
        <v>30000</v>
      </c>
      <c r="F81" s="669" t="n">
        <v>58000</v>
      </c>
      <c r="G81" s="670" t="n">
        <f aca="false">9000*2</f>
        <v>18000</v>
      </c>
      <c r="H81" s="671" t="n">
        <f aca="false">G81*H90*$B$81</f>
        <v>18540</v>
      </c>
      <c r="I81" s="671" t="n">
        <f aca="false">H81*I90*$B$81</f>
        <v>19096.2</v>
      </c>
      <c r="J81" s="671" t="n">
        <f aca="false">I81*J90*$B$81</f>
        <v>19669.086</v>
      </c>
      <c r="K81" s="671" t="n">
        <f aca="false">J81*K90*$B$81</f>
        <v>20259.15858</v>
      </c>
      <c r="L81" s="671" t="n">
        <f aca="false">K81*L90*$B$81</f>
        <v>20866.9333374</v>
      </c>
      <c r="M81" s="671" t="n">
        <f aca="false">L81*M90*$B$81</f>
        <v>21492.941337522</v>
      </c>
      <c r="N81" s="671" t="n">
        <f aca="false">M81*N90*$B$81</f>
        <v>22137.7295776477</v>
      </c>
      <c r="O81" s="671" t="n">
        <f aca="false">N81*O90*$B$81</f>
        <v>22801.8614649771</v>
      </c>
      <c r="P81" s="671" t="n">
        <f aca="false">O81*P90*$B$81</f>
        <v>23485.9173089264</v>
      </c>
      <c r="Q81" s="671" t="n">
        <f aca="false">P81*Q90*$B$81</f>
        <v>24190.4948281942</v>
      </c>
      <c r="R81" s="449"/>
    </row>
    <row r="82" customFormat="false" ht="12.75" hidden="false" customHeight="false" outlineLevel="0" collapsed="false">
      <c r="A82" s="691" t="s">
        <v>348</v>
      </c>
      <c r="B82" s="692" t="n">
        <v>0</v>
      </c>
      <c r="C82" s="270"/>
      <c r="D82" s="669" t="n">
        <v>0</v>
      </c>
      <c r="E82" s="669" t="n">
        <v>0</v>
      </c>
      <c r="F82" s="669" t="n">
        <v>0</v>
      </c>
      <c r="G82" s="670" t="n">
        <v>0</v>
      </c>
      <c r="H82" s="671" t="n">
        <f aca="false">G82*H91*$B$82</f>
        <v>0</v>
      </c>
      <c r="I82" s="671" t="n">
        <f aca="false">H82*I91*$B$82</f>
        <v>0</v>
      </c>
      <c r="J82" s="671" t="n">
        <f aca="false">I82*J91*$B$82</f>
        <v>0</v>
      </c>
      <c r="K82" s="671" t="n">
        <f aca="false">J82*K91*$B$82</f>
        <v>0</v>
      </c>
      <c r="L82" s="671" t="n">
        <f aca="false">K82*L91*$B$82</f>
        <v>0</v>
      </c>
      <c r="M82" s="671" t="n">
        <f aca="false">L82*M91*$B$82</f>
        <v>0</v>
      </c>
      <c r="N82" s="671" t="n">
        <f aca="false">M82*N91*$B$82</f>
        <v>0</v>
      </c>
      <c r="O82" s="671" t="n">
        <f aca="false">N82*O91*$B$82</f>
        <v>0</v>
      </c>
      <c r="P82" s="671" t="n">
        <f aca="false">O82*P91*$B$82</f>
        <v>0</v>
      </c>
      <c r="Q82" s="671" t="n">
        <f aca="false">P82*Q91*$B$82</f>
        <v>0</v>
      </c>
      <c r="R82" s="449"/>
    </row>
    <row r="83" customFormat="false" ht="12.75" hidden="false" customHeight="false" outlineLevel="0" collapsed="false">
      <c r="A83" s="691" t="s">
        <v>349</v>
      </c>
      <c r="B83" s="692" t="n">
        <v>0</v>
      </c>
      <c r="C83" s="270"/>
      <c r="D83" s="669" t="n">
        <v>0</v>
      </c>
      <c r="E83" s="669" t="n">
        <v>0</v>
      </c>
      <c r="F83" s="669" t="n">
        <v>0</v>
      </c>
      <c r="G83" s="670" t="n">
        <v>0</v>
      </c>
      <c r="H83" s="671" t="n">
        <f aca="false">G83*H92*$B$83</f>
        <v>0</v>
      </c>
      <c r="I83" s="671" t="n">
        <f aca="false">H83*I92*$B$83</f>
        <v>0</v>
      </c>
      <c r="J83" s="671" t="n">
        <f aca="false">I83*J92*$B$83</f>
        <v>0</v>
      </c>
      <c r="K83" s="671" t="n">
        <f aca="false">J83*K92*$B$83</f>
        <v>0</v>
      </c>
      <c r="L83" s="671" t="n">
        <f aca="false">K83*L92*$B$83</f>
        <v>0</v>
      </c>
      <c r="M83" s="671" t="n">
        <f aca="false">L83*M92*$B$83</f>
        <v>0</v>
      </c>
      <c r="N83" s="671" t="n">
        <f aca="false">M83*N92*$B$83</f>
        <v>0</v>
      </c>
      <c r="O83" s="671" t="n">
        <f aca="false">N83*O92*$B$83</f>
        <v>0</v>
      </c>
      <c r="P83" s="671" t="n">
        <f aca="false">O83*P92*$B$83</f>
        <v>0</v>
      </c>
      <c r="Q83" s="671" t="n">
        <f aca="false">P83*Q92*$B$83</f>
        <v>0</v>
      </c>
      <c r="R83" s="449"/>
    </row>
    <row r="84" customFormat="false" ht="12.75" hidden="false" customHeight="false" outlineLevel="0" collapsed="false">
      <c r="A84" s="691" t="s">
        <v>350</v>
      </c>
      <c r="B84" s="692" t="n">
        <v>0</v>
      </c>
      <c r="C84" s="270"/>
      <c r="D84" s="693" t="n">
        <v>0</v>
      </c>
      <c r="E84" s="693" t="n">
        <v>0</v>
      </c>
      <c r="F84" s="693" t="n">
        <v>0</v>
      </c>
      <c r="G84" s="694" t="n">
        <v>0</v>
      </c>
      <c r="H84" s="695" t="n">
        <f aca="false">G84*H93*$B$84</f>
        <v>0</v>
      </c>
      <c r="I84" s="695" t="n">
        <f aca="false">H84*I93*$B$84</f>
        <v>0</v>
      </c>
      <c r="J84" s="695" t="n">
        <f aca="false">I84*J93*$B$84</f>
        <v>0</v>
      </c>
      <c r="K84" s="695" t="n">
        <f aca="false">J84*K93*$B$84</f>
        <v>0</v>
      </c>
      <c r="L84" s="695" t="n">
        <f aca="false">K84*L93*$B$84</f>
        <v>0</v>
      </c>
      <c r="M84" s="695" t="n">
        <f aca="false">L84*M93*$B$84</f>
        <v>0</v>
      </c>
      <c r="N84" s="695" t="n">
        <f aca="false">M84*N93*$B$84</f>
        <v>0</v>
      </c>
      <c r="O84" s="695" t="n">
        <f aca="false">N84*O93*$B$84</f>
        <v>0</v>
      </c>
      <c r="P84" s="695" t="n">
        <f aca="false">O84*P93*$B$84</f>
        <v>0</v>
      </c>
      <c r="Q84" s="695" t="n">
        <f aca="false">P84*Q93*$B$84</f>
        <v>0</v>
      </c>
      <c r="R84" s="449"/>
    </row>
    <row r="85" customFormat="false" ht="12.75" hidden="false" customHeight="false" outlineLevel="0" collapsed="false">
      <c r="A85" s="621" t="s">
        <v>313</v>
      </c>
      <c r="B85" s="78"/>
      <c r="C85" s="270"/>
      <c r="D85" s="631" t="n">
        <f aca="false">SUM(D79:D84)</f>
        <v>496000</v>
      </c>
      <c r="E85" s="631" t="n">
        <f aca="false">SUM(E79:E84)</f>
        <v>471000</v>
      </c>
      <c r="F85" s="631" t="n">
        <f aca="false">SUM(F79:F84)</f>
        <v>483000</v>
      </c>
      <c r="G85" s="631" t="n">
        <f aca="false">SUM(G79:G84)</f>
        <v>540000</v>
      </c>
      <c r="H85" s="426" t="n">
        <f aca="false">SUM(H79:H84)</f>
        <v>546740</v>
      </c>
      <c r="I85" s="426" t="n">
        <f aca="false">SUM(I79:I84)</f>
        <v>553577.8</v>
      </c>
      <c r="J85" s="426" t="n">
        <f aca="false">SUM(J79:J84)</f>
        <v>560515.094</v>
      </c>
      <c r="K85" s="426" t="n">
        <f aca="false">SUM(K79:K84)</f>
        <v>567553.6105</v>
      </c>
      <c r="L85" s="426" t="n">
        <f aca="false">SUM(L79:L84)</f>
        <v>574695.1132934</v>
      </c>
      <c r="M85" s="426" t="n">
        <f aca="false">SUM(M79:M84)</f>
        <v>581941.402280218</v>
      </c>
      <c r="N85" s="426" t="n">
        <f aca="false">SUM(N79:N84)</f>
        <v>589294.314300649</v>
      </c>
      <c r="O85" s="426" t="n">
        <f aca="false">SUM(O79:O84)</f>
        <v>596755.723989505</v>
      </c>
      <c r="P85" s="426" t="n">
        <f aca="false">SUM(P79:P84)</f>
        <v>604327.544652082</v>
      </c>
      <c r="Q85" s="426" t="n">
        <f aca="false">SUM(Q79:Q84)</f>
        <v>612011.729162031</v>
      </c>
      <c r="R85" s="449"/>
    </row>
    <row r="86" customFormat="false" ht="12.75" hidden="false" customHeight="false" outlineLevel="0" collapsed="false">
      <c r="C86" s="270"/>
      <c r="D86" s="639"/>
      <c r="F86" s="463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449"/>
    </row>
    <row r="87" customFormat="false" ht="15.75" hidden="false" customHeight="false" outlineLevel="0" collapsed="false">
      <c r="A87" s="696" t="s">
        <v>351</v>
      </c>
      <c r="B87" s="131"/>
      <c r="C87" s="697"/>
      <c r="D87" s="698"/>
      <c r="E87" s="131"/>
      <c r="F87" s="699"/>
      <c r="G87" s="700"/>
      <c r="H87" s="700"/>
      <c r="I87" s="700"/>
      <c r="J87" s="700"/>
      <c r="K87" s="700"/>
      <c r="L87" s="700"/>
      <c r="M87" s="700"/>
      <c r="N87" s="700"/>
      <c r="O87" s="700"/>
      <c r="P87" s="700"/>
      <c r="Q87" s="700"/>
      <c r="R87" s="503"/>
    </row>
    <row r="88" customFormat="false" ht="12.75" hidden="false" customHeight="false" outlineLevel="0" collapsed="false">
      <c r="A88" s="0" t="s">
        <v>345</v>
      </c>
      <c r="C88" s="270"/>
      <c r="D88" s="639"/>
      <c r="F88" s="463"/>
      <c r="G88" s="701"/>
      <c r="H88" s="207" t="n">
        <v>1.01</v>
      </c>
      <c r="I88" s="207" t="n">
        <v>1.01</v>
      </c>
      <c r="J88" s="207" t="n">
        <v>1.01</v>
      </c>
      <c r="K88" s="207" t="n">
        <v>1.01</v>
      </c>
      <c r="L88" s="207" t="n">
        <v>1.01</v>
      </c>
      <c r="M88" s="207" t="n">
        <v>1.01</v>
      </c>
      <c r="N88" s="207" t="n">
        <v>1.01</v>
      </c>
      <c r="O88" s="207" t="n">
        <v>1.01</v>
      </c>
      <c r="P88" s="207" t="n">
        <v>1.01</v>
      </c>
      <c r="Q88" s="207" t="n">
        <v>1.01</v>
      </c>
      <c r="R88" s="449"/>
    </row>
    <row r="89" customFormat="false" ht="12.75" hidden="false" customHeight="false" outlineLevel="0" collapsed="false">
      <c r="A89" s="0" t="s">
        <v>346</v>
      </c>
      <c r="C89" s="270"/>
      <c r="D89" s="639"/>
      <c r="F89" s="463"/>
      <c r="G89" s="701"/>
      <c r="H89" s="207" t="n">
        <v>1.02</v>
      </c>
      <c r="I89" s="207" t="n">
        <v>1.02</v>
      </c>
      <c r="J89" s="207" t="n">
        <v>1.02</v>
      </c>
      <c r="K89" s="207" t="n">
        <v>1.02</v>
      </c>
      <c r="L89" s="207" t="n">
        <v>1.02</v>
      </c>
      <c r="M89" s="207" t="n">
        <v>1.02</v>
      </c>
      <c r="N89" s="207" t="n">
        <v>1.02</v>
      </c>
      <c r="O89" s="207" t="n">
        <v>1.02</v>
      </c>
      <c r="P89" s="207" t="n">
        <v>1.02</v>
      </c>
      <c r="Q89" s="207" t="n">
        <v>1.02</v>
      </c>
      <c r="R89" s="449"/>
    </row>
    <row r="90" customFormat="false" ht="12.75" hidden="false" customHeight="false" outlineLevel="0" collapsed="false">
      <c r="A90" s="0" t="s">
        <v>347</v>
      </c>
      <c r="C90" s="270"/>
      <c r="D90" s="639"/>
      <c r="F90" s="463"/>
      <c r="G90" s="701"/>
      <c r="H90" s="207" t="n">
        <v>1.03</v>
      </c>
      <c r="I90" s="207" t="n">
        <v>1.03</v>
      </c>
      <c r="J90" s="207" t="n">
        <v>1.03</v>
      </c>
      <c r="K90" s="207" t="n">
        <v>1.03</v>
      </c>
      <c r="L90" s="207" t="n">
        <v>1.03</v>
      </c>
      <c r="M90" s="207" t="n">
        <v>1.03</v>
      </c>
      <c r="N90" s="207" t="n">
        <v>1.03</v>
      </c>
      <c r="O90" s="207" t="n">
        <v>1.03</v>
      </c>
      <c r="P90" s="207" t="n">
        <v>1.03</v>
      </c>
      <c r="Q90" s="207" t="n">
        <v>1.03</v>
      </c>
      <c r="R90" s="449"/>
    </row>
    <row r="91" customFormat="false" ht="12.75" hidden="false" customHeight="false" outlineLevel="0" collapsed="false">
      <c r="A91" s="0" t="s">
        <v>348</v>
      </c>
      <c r="C91" s="270"/>
      <c r="D91" s="639"/>
      <c r="F91" s="463"/>
      <c r="G91" s="701"/>
      <c r="H91" s="207" t="n">
        <v>1</v>
      </c>
      <c r="I91" s="207" t="n">
        <v>1</v>
      </c>
      <c r="J91" s="207" t="n">
        <v>1</v>
      </c>
      <c r="K91" s="207" t="n">
        <v>1</v>
      </c>
      <c r="L91" s="207" t="n">
        <v>1</v>
      </c>
      <c r="M91" s="207" t="n">
        <v>1</v>
      </c>
      <c r="N91" s="207" t="n">
        <v>1</v>
      </c>
      <c r="O91" s="207" t="n">
        <v>1</v>
      </c>
      <c r="P91" s="207" t="n">
        <v>1</v>
      </c>
      <c r="Q91" s="207" t="n">
        <v>1</v>
      </c>
      <c r="R91" s="449"/>
    </row>
    <row r="92" customFormat="false" ht="12.75" hidden="false" customHeight="false" outlineLevel="0" collapsed="false">
      <c r="A92" s="0" t="s">
        <v>349</v>
      </c>
      <c r="C92" s="270"/>
      <c r="D92" s="639"/>
      <c r="F92" s="463"/>
      <c r="G92" s="701"/>
      <c r="H92" s="207" t="n">
        <v>1</v>
      </c>
      <c r="I92" s="207" t="n">
        <v>1</v>
      </c>
      <c r="J92" s="207" t="n">
        <v>1</v>
      </c>
      <c r="K92" s="207" t="n">
        <v>1</v>
      </c>
      <c r="L92" s="207" t="n">
        <v>1</v>
      </c>
      <c r="M92" s="207" t="n">
        <v>1</v>
      </c>
      <c r="N92" s="207" t="n">
        <v>1</v>
      </c>
      <c r="O92" s="207" t="n">
        <v>1</v>
      </c>
      <c r="P92" s="207" t="n">
        <v>1</v>
      </c>
      <c r="Q92" s="207" t="n">
        <v>1</v>
      </c>
      <c r="R92" s="449"/>
    </row>
    <row r="93" customFormat="false" ht="12.75" hidden="false" customHeight="false" outlineLevel="0" collapsed="false">
      <c r="A93" s="0" t="s">
        <v>350</v>
      </c>
      <c r="C93" s="270"/>
      <c r="D93" s="639"/>
      <c r="F93" s="463"/>
      <c r="G93" s="701"/>
      <c r="H93" s="207" t="n">
        <v>1</v>
      </c>
      <c r="I93" s="207" t="n">
        <v>1</v>
      </c>
      <c r="J93" s="207" t="n">
        <v>1</v>
      </c>
      <c r="K93" s="207" t="n">
        <v>1</v>
      </c>
      <c r="L93" s="207" t="n">
        <v>1</v>
      </c>
      <c r="M93" s="207" t="n">
        <v>1</v>
      </c>
      <c r="N93" s="207" t="n">
        <v>1</v>
      </c>
      <c r="O93" s="207" t="n">
        <v>1</v>
      </c>
      <c r="P93" s="207" t="n">
        <v>1</v>
      </c>
      <c r="Q93" s="207" t="n">
        <v>1</v>
      </c>
      <c r="R93" s="449"/>
    </row>
    <row r="94" customFormat="false" ht="12.75" hidden="false" customHeight="false" outlineLevel="0" collapsed="false">
      <c r="R94" s="449"/>
    </row>
    <row r="95" customFormat="false" ht="12.75" hidden="false" customHeight="false" outlineLevel="0" collapsed="false">
      <c r="R95" s="449"/>
    </row>
    <row r="96" customFormat="false" ht="15.75" hidden="false" customHeight="false" outlineLevel="0" collapsed="false">
      <c r="A96" s="497" t="s">
        <v>352</v>
      </c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449"/>
    </row>
    <row r="97" customFormat="false" ht="14.25" hidden="false" customHeight="true" outlineLevel="0" collapsed="false">
      <c r="A97" s="501"/>
      <c r="B97" s="449"/>
      <c r="C97" s="449"/>
      <c r="D97" s="505"/>
      <c r="E97" s="505"/>
      <c r="F97" s="295"/>
      <c r="G97" s="306" t="s">
        <v>192</v>
      </c>
      <c r="H97" s="307"/>
      <c r="I97" s="295"/>
      <c r="J97" s="295"/>
      <c r="K97" s="176"/>
      <c r="L97" s="295"/>
      <c r="M97" s="176"/>
      <c r="N97" s="176"/>
      <c r="O97" s="176"/>
      <c r="P97" s="176"/>
      <c r="Q97" s="103"/>
      <c r="R97" s="449"/>
    </row>
    <row r="98" customFormat="false" ht="12.75" hidden="false" customHeight="false" outlineLevel="0" collapsed="false">
      <c r="A98" s="449"/>
      <c r="B98" s="449"/>
      <c r="C98" s="449"/>
      <c r="D98" s="308" t="n">
        <v>1998</v>
      </c>
      <c r="E98" s="308" t="n">
        <v>1999</v>
      </c>
      <c r="F98" s="308" t="n">
        <v>2000</v>
      </c>
      <c r="G98" s="308" t="n">
        <v>2001</v>
      </c>
      <c r="H98" s="309" t="n">
        <v>2002</v>
      </c>
      <c r="I98" s="309" t="n">
        <v>2003</v>
      </c>
      <c r="J98" s="309" t="n">
        <v>2004</v>
      </c>
      <c r="K98" s="309" t="n">
        <v>2005</v>
      </c>
      <c r="L98" s="309" t="n">
        <v>2006</v>
      </c>
      <c r="M98" s="310" t="n">
        <v>2007</v>
      </c>
      <c r="N98" s="310" t="n">
        <v>2008</v>
      </c>
      <c r="O98" s="310" t="n">
        <v>2009</v>
      </c>
      <c r="P98" s="310" t="n">
        <v>2010</v>
      </c>
      <c r="Q98" s="690" t="n">
        <v>2011</v>
      </c>
      <c r="R98" s="449"/>
    </row>
    <row r="99" customFormat="false" ht="12.75" hidden="false" customHeight="false" outlineLevel="0" collapsed="false">
      <c r="F99" s="312" t="s">
        <v>193</v>
      </c>
      <c r="G99" s="308" t="n">
        <v>1</v>
      </c>
      <c r="H99" s="309" t="n">
        <v>2</v>
      </c>
      <c r="I99" s="309" t="n">
        <v>3</v>
      </c>
      <c r="J99" s="309" t="n">
        <v>4</v>
      </c>
      <c r="K99" s="309" t="n">
        <v>5</v>
      </c>
      <c r="L99" s="309" t="n">
        <v>6</v>
      </c>
      <c r="M99" s="309" t="n">
        <v>7</v>
      </c>
      <c r="N99" s="309" t="n">
        <v>8</v>
      </c>
      <c r="O99" s="309" t="n">
        <v>9</v>
      </c>
      <c r="P99" s="309" t="n">
        <v>10</v>
      </c>
      <c r="Q99" s="387" t="n">
        <v>11</v>
      </c>
      <c r="R99" s="449"/>
    </row>
    <row r="100" customFormat="false" ht="12.75" hidden="false" customHeight="false" outlineLevel="0" collapsed="false">
      <c r="A100" s="371" t="s">
        <v>314</v>
      </c>
      <c r="B100" s="507" t="s">
        <v>268</v>
      </c>
      <c r="C100" s="17"/>
      <c r="R100" s="449"/>
    </row>
    <row r="101" customFormat="false" ht="12.75" hidden="false" customHeight="false" outlineLevel="0" collapsed="false">
      <c r="A101" s="691" t="s">
        <v>353</v>
      </c>
      <c r="B101" s="692" t="n">
        <v>1</v>
      </c>
      <c r="C101" s="17"/>
      <c r="D101" s="669" t="n">
        <v>213000</v>
      </c>
      <c r="E101" s="669" t="n">
        <v>191000</v>
      </c>
      <c r="F101" s="669" t="n">
        <v>211000</v>
      </c>
      <c r="G101" s="702" t="n">
        <f aca="false">105000*2</f>
        <v>210000</v>
      </c>
      <c r="H101" s="671" t="n">
        <f aca="false">G101*H109*$B$101</f>
        <v>215250</v>
      </c>
      <c r="I101" s="671" t="n">
        <f aca="false">H101*I109*$B$101</f>
        <v>220631.25</v>
      </c>
      <c r="J101" s="671" t="n">
        <f aca="false">I101*J109*$B$101</f>
        <v>226147.03125</v>
      </c>
      <c r="K101" s="671" t="n">
        <f aca="false">J101*K109*$B$101</f>
        <v>231800.70703125</v>
      </c>
      <c r="L101" s="671" t="n">
        <f aca="false">K101*L109*$B$101</f>
        <v>237595.724707031</v>
      </c>
      <c r="M101" s="671" t="n">
        <f aca="false">L101*M109*$B$101</f>
        <v>243535.617824707</v>
      </c>
      <c r="N101" s="671" t="n">
        <f aca="false">M101*N109*$B$101</f>
        <v>249624.008270325</v>
      </c>
      <c r="O101" s="671" t="n">
        <f aca="false">N101*O109*$B$101</f>
        <v>255864.608477083</v>
      </c>
      <c r="P101" s="671" t="n">
        <f aca="false">O101*P109*$B$101</f>
        <v>262261.22368901</v>
      </c>
      <c r="Q101" s="671" t="n">
        <f aca="false">P101*Q109*$B$101</f>
        <v>268817.754281235</v>
      </c>
      <c r="R101" s="449"/>
    </row>
    <row r="102" customFormat="false" ht="12.75" hidden="false" customHeight="false" outlineLevel="0" collapsed="false">
      <c r="A102" s="691" t="s">
        <v>354</v>
      </c>
      <c r="B102" s="692" t="n">
        <v>0</v>
      </c>
      <c r="C102" s="17"/>
      <c r="D102" s="669" t="n">
        <v>0</v>
      </c>
      <c r="E102" s="669" t="n">
        <v>0</v>
      </c>
      <c r="F102" s="669" t="n">
        <v>0</v>
      </c>
      <c r="G102" s="702" t="n">
        <v>0</v>
      </c>
      <c r="H102" s="671" t="n">
        <f aca="false">G102*H110*$B$102</f>
        <v>0</v>
      </c>
      <c r="I102" s="671" t="n">
        <f aca="false">H102*I110*$B$102</f>
        <v>0</v>
      </c>
      <c r="J102" s="671" t="n">
        <f aca="false">I102*J110*$B$102</f>
        <v>0</v>
      </c>
      <c r="K102" s="671" t="n">
        <f aca="false">J102*K110*$B$102</f>
        <v>0</v>
      </c>
      <c r="L102" s="671" t="n">
        <f aca="false">K102*L110*$B$102</f>
        <v>0</v>
      </c>
      <c r="M102" s="671" t="n">
        <f aca="false">L102*M110*$B$102</f>
        <v>0</v>
      </c>
      <c r="N102" s="671" t="n">
        <f aca="false">M102*N110*$B$102</f>
        <v>0</v>
      </c>
      <c r="O102" s="671" t="n">
        <f aca="false">N102*O110*$B$102</f>
        <v>0</v>
      </c>
      <c r="P102" s="671" t="n">
        <f aca="false">O102*P110*$B$102</f>
        <v>0</v>
      </c>
      <c r="Q102" s="671" t="n">
        <f aca="false">P102*Q110*$B$102</f>
        <v>0</v>
      </c>
      <c r="R102" s="449"/>
    </row>
    <row r="103" customFormat="false" ht="12.75" hidden="false" customHeight="false" outlineLevel="0" collapsed="false">
      <c r="A103" s="691" t="s">
        <v>355</v>
      </c>
      <c r="B103" s="692" t="n">
        <v>0</v>
      </c>
      <c r="C103" s="17"/>
      <c r="D103" s="669" t="n">
        <v>0</v>
      </c>
      <c r="E103" s="669" t="n">
        <v>0</v>
      </c>
      <c r="F103" s="669" t="n">
        <v>0</v>
      </c>
      <c r="G103" s="702" t="n">
        <v>0</v>
      </c>
      <c r="H103" s="671" t="n">
        <f aca="false">G103*H111*$B$103</f>
        <v>0</v>
      </c>
      <c r="I103" s="671" t="n">
        <f aca="false">H103*I111*$B$103</f>
        <v>0</v>
      </c>
      <c r="J103" s="671" t="n">
        <f aca="false">I103*J111*$B$103</f>
        <v>0</v>
      </c>
      <c r="K103" s="671" t="n">
        <f aca="false">J103*K111*$B$103</f>
        <v>0</v>
      </c>
      <c r="L103" s="671" t="n">
        <f aca="false">K103*L111*$B$103</f>
        <v>0</v>
      </c>
      <c r="M103" s="671" t="n">
        <f aca="false">L103*M111*$B$103</f>
        <v>0</v>
      </c>
      <c r="N103" s="671" t="n">
        <f aca="false">M103*N111*$B$103</f>
        <v>0</v>
      </c>
      <c r="O103" s="671" t="n">
        <f aca="false">N103*O111*$B$103</f>
        <v>0</v>
      </c>
      <c r="P103" s="671" t="n">
        <f aca="false">O103*P111*$B$103</f>
        <v>0</v>
      </c>
      <c r="Q103" s="671" t="n">
        <f aca="false">P103*Q111*$B$103</f>
        <v>0</v>
      </c>
      <c r="R103" s="449"/>
    </row>
    <row r="104" customFormat="false" ht="12.75" hidden="false" customHeight="false" outlineLevel="0" collapsed="false">
      <c r="A104" s="691" t="s">
        <v>356</v>
      </c>
      <c r="B104" s="692" t="n">
        <v>0</v>
      </c>
      <c r="C104" s="17"/>
      <c r="D104" s="669" t="n">
        <v>0</v>
      </c>
      <c r="E104" s="669" t="n">
        <v>0</v>
      </c>
      <c r="F104" s="669" t="n">
        <v>0</v>
      </c>
      <c r="G104" s="702" t="n">
        <v>0</v>
      </c>
      <c r="H104" s="671" t="n">
        <f aca="false">G104*H112*$B$104</f>
        <v>0</v>
      </c>
      <c r="I104" s="671" t="n">
        <f aca="false">H104*I112*$B$104</f>
        <v>0</v>
      </c>
      <c r="J104" s="671" t="n">
        <f aca="false">I104*J112*$B$104</f>
        <v>0</v>
      </c>
      <c r="K104" s="671" t="n">
        <f aca="false">J104*K112*$B$104</f>
        <v>0</v>
      </c>
      <c r="L104" s="671" t="n">
        <f aca="false">K104*L112*$B$104</f>
        <v>0</v>
      </c>
      <c r="M104" s="671" t="n">
        <f aca="false">L104*M112*$B$104</f>
        <v>0</v>
      </c>
      <c r="N104" s="671" t="n">
        <f aca="false">M104*N112*$B$104</f>
        <v>0</v>
      </c>
      <c r="O104" s="671" t="n">
        <f aca="false">N104*O112*$B$104</f>
        <v>0</v>
      </c>
      <c r="P104" s="671" t="n">
        <f aca="false">O104*P112*$B$104</f>
        <v>0</v>
      </c>
      <c r="Q104" s="671" t="n">
        <f aca="false">P104*Q112*$B$104</f>
        <v>0</v>
      </c>
      <c r="R104" s="449"/>
    </row>
    <row r="105" customFormat="false" ht="12.75" hidden="false" customHeight="false" outlineLevel="0" collapsed="false">
      <c r="A105" s="691" t="s">
        <v>357</v>
      </c>
      <c r="B105" s="692" t="n">
        <v>0</v>
      </c>
      <c r="C105" s="270"/>
      <c r="D105" s="693" t="n">
        <v>0</v>
      </c>
      <c r="E105" s="693" t="n">
        <v>0</v>
      </c>
      <c r="F105" s="693" t="n">
        <v>0</v>
      </c>
      <c r="G105" s="703" t="n">
        <v>0</v>
      </c>
      <c r="H105" s="695" t="n">
        <f aca="false">G105*H113*$B$105</f>
        <v>0</v>
      </c>
      <c r="I105" s="695" t="n">
        <f aca="false">H105*I113*$B$105</f>
        <v>0</v>
      </c>
      <c r="J105" s="695" t="n">
        <f aca="false">I105*J113*$B$105</f>
        <v>0</v>
      </c>
      <c r="K105" s="695" t="n">
        <f aca="false">J105*K113*$B$105</f>
        <v>0</v>
      </c>
      <c r="L105" s="695" t="n">
        <f aca="false">K105*L113*$B$105</f>
        <v>0</v>
      </c>
      <c r="M105" s="695" t="n">
        <f aca="false">L105*M113*$B$105</f>
        <v>0</v>
      </c>
      <c r="N105" s="695" t="n">
        <f aca="false">M105*N113*$B$105</f>
        <v>0</v>
      </c>
      <c r="O105" s="695" t="n">
        <f aca="false">N105*O113*$B$105</f>
        <v>0</v>
      </c>
      <c r="P105" s="695" t="n">
        <f aca="false">O105*P113*$B$105</f>
        <v>0</v>
      </c>
      <c r="Q105" s="695" t="n">
        <f aca="false">P105*Q113*$B$105</f>
        <v>0</v>
      </c>
      <c r="R105" s="449"/>
    </row>
    <row r="106" customFormat="false" ht="12.75" hidden="false" customHeight="false" outlineLevel="0" collapsed="false">
      <c r="A106" s="25" t="s">
        <v>315</v>
      </c>
      <c r="B106" s="186"/>
      <c r="C106" s="270"/>
      <c r="D106" s="631" t="n">
        <f aca="false">SUM(D101:D105)</f>
        <v>213000</v>
      </c>
      <c r="E106" s="631" t="n">
        <f aca="false">SUM(E101:E105)</f>
        <v>191000</v>
      </c>
      <c r="F106" s="631" t="n">
        <f aca="false">SUM(F101:F105)</f>
        <v>211000</v>
      </c>
      <c r="G106" s="631" t="n">
        <f aca="false">SUM(G101:G105)</f>
        <v>210000</v>
      </c>
      <c r="H106" s="426" t="n">
        <f aca="false">SUM(H101:H105)</f>
        <v>215250</v>
      </c>
      <c r="I106" s="426" t="n">
        <f aca="false">SUM(I101:I105)</f>
        <v>220631.25</v>
      </c>
      <c r="J106" s="426" t="n">
        <f aca="false">SUM(J101:J105)</f>
        <v>226147.03125</v>
      </c>
      <c r="K106" s="426" t="n">
        <f aca="false">SUM(K101:K105)</f>
        <v>231800.70703125</v>
      </c>
      <c r="L106" s="426" t="n">
        <f aca="false">SUM(L101:L105)</f>
        <v>237595.724707031</v>
      </c>
      <c r="M106" s="426" t="n">
        <f aca="false">SUM(M101:M105)</f>
        <v>243535.617824707</v>
      </c>
      <c r="N106" s="426" t="n">
        <f aca="false">SUM(N101:N105)</f>
        <v>249624.008270325</v>
      </c>
      <c r="O106" s="426" t="n">
        <f aca="false">SUM(O101:O105)</f>
        <v>255864.608477083</v>
      </c>
      <c r="P106" s="426" t="n">
        <f aca="false">SUM(P101:P105)</f>
        <v>262261.22368901</v>
      </c>
      <c r="Q106" s="426" t="n">
        <f aca="false">SUM(Q101:Q105)</f>
        <v>268817.754281235</v>
      </c>
      <c r="R106" s="449"/>
    </row>
    <row r="107" customFormat="false" ht="12.75" hidden="false" customHeight="false" outlineLevel="0" collapsed="false">
      <c r="C107" s="17"/>
      <c r="F107" s="463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449"/>
    </row>
    <row r="108" customFormat="false" ht="15.75" hidden="false" customHeight="false" outlineLevel="0" collapsed="false">
      <c r="A108" s="696" t="s">
        <v>351</v>
      </c>
      <c r="B108" s="131"/>
      <c r="C108" s="697"/>
      <c r="D108" s="698"/>
      <c r="E108" s="131"/>
      <c r="F108" s="699"/>
      <c r="G108" s="700"/>
      <c r="H108" s="700"/>
      <c r="I108" s="700"/>
      <c r="J108" s="700"/>
      <c r="K108" s="700"/>
      <c r="L108" s="700"/>
      <c r="M108" s="700"/>
      <c r="N108" s="700"/>
      <c r="O108" s="700"/>
      <c r="P108" s="700"/>
      <c r="Q108" s="700"/>
      <c r="R108" s="503"/>
    </row>
    <row r="109" customFormat="false" ht="12.75" hidden="false" customHeight="false" outlineLevel="0" collapsed="false">
      <c r="A109" s="0" t="s">
        <v>353</v>
      </c>
      <c r="C109" s="270"/>
      <c r="D109" s="639"/>
      <c r="F109" s="463"/>
      <c r="G109" s="701"/>
      <c r="H109" s="207" t="n">
        <v>1.025</v>
      </c>
      <c r="I109" s="207" t="n">
        <v>1.025</v>
      </c>
      <c r="J109" s="207" t="n">
        <v>1.025</v>
      </c>
      <c r="K109" s="207" t="n">
        <v>1.025</v>
      </c>
      <c r="L109" s="207" t="n">
        <v>1.025</v>
      </c>
      <c r="M109" s="207" t="n">
        <v>1.025</v>
      </c>
      <c r="N109" s="207" t="n">
        <v>1.025</v>
      </c>
      <c r="O109" s="207" t="n">
        <v>1.025</v>
      </c>
      <c r="P109" s="207" t="n">
        <v>1.025</v>
      </c>
      <c r="Q109" s="207" t="n">
        <v>1.025</v>
      </c>
      <c r="R109" s="449"/>
    </row>
    <row r="110" customFormat="false" ht="12.75" hidden="false" customHeight="false" outlineLevel="0" collapsed="false">
      <c r="A110" s="0" t="s">
        <v>354</v>
      </c>
      <c r="C110" s="270"/>
      <c r="D110" s="639"/>
      <c r="F110" s="463"/>
      <c r="G110" s="701"/>
      <c r="H110" s="207" t="n">
        <v>1</v>
      </c>
      <c r="I110" s="207" t="n">
        <v>1</v>
      </c>
      <c r="J110" s="207" t="n">
        <v>1</v>
      </c>
      <c r="K110" s="207" t="n">
        <v>1</v>
      </c>
      <c r="L110" s="207" t="n">
        <v>1</v>
      </c>
      <c r="M110" s="207" t="n">
        <v>1</v>
      </c>
      <c r="N110" s="207" t="n">
        <v>1</v>
      </c>
      <c r="O110" s="207" t="n">
        <v>1</v>
      </c>
      <c r="P110" s="207" t="n">
        <v>1</v>
      </c>
      <c r="Q110" s="207" t="n">
        <v>1</v>
      </c>
      <c r="R110" s="449"/>
    </row>
    <row r="111" customFormat="false" ht="12.75" hidden="false" customHeight="false" outlineLevel="0" collapsed="false">
      <c r="A111" s="0" t="s">
        <v>355</v>
      </c>
      <c r="C111" s="270"/>
      <c r="D111" s="639"/>
      <c r="F111" s="463"/>
      <c r="G111" s="701"/>
      <c r="H111" s="207" t="n">
        <v>1</v>
      </c>
      <c r="I111" s="207" t="n">
        <v>1</v>
      </c>
      <c r="J111" s="207" t="n">
        <v>1</v>
      </c>
      <c r="K111" s="207" t="n">
        <v>1</v>
      </c>
      <c r="L111" s="207" t="n">
        <v>1</v>
      </c>
      <c r="M111" s="207" t="n">
        <v>1</v>
      </c>
      <c r="N111" s="207" t="n">
        <v>1</v>
      </c>
      <c r="O111" s="207" t="n">
        <v>1</v>
      </c>
      <c r="P111" s="207" t="n">
        <v>1</v>
      </c>
      <c r="Q111" s="207" t="n">
        <v>1</v>
      </c>
      <c r="R111" s="449"/>
    </row>
    <row r="112" customFormat="false" ht="12.75" hidden="false" customHeight="false" outlineLevel="0" collapsed="false">
      <c r="A112" s="0" t="s">
        <v>356</v>
      </c>
      <c r="C112" s="270"/>
      <c r="D112" s="639"/>
      <c r="F112" s="463"/>
      <c r="G112" s="701"/>
      <c r="H112" s="207" t="n">
        <v>1</v>
      </c>
      <c r="I112" s="207" t="n">
        <v>1</v>
      </c>
      <c r="J112" s="207" t="n">
        <v>1</v>
      </c>
      <c r="K112" s="207" t="n">
        <v>1</v>
      </c>
      <c r="L112" s="207" t="n">
        <v>1</v>
      </c>
      <c r="M112" s="207" t="n">
        <v>1</v>
      </c>
      <c r="N112" s="207" t="n">
        <v>1</v>
      </c>
      <c r="O112" s="207" t="n">
        <v>1</v>
      </c>
      <c r="P112" s="207" t="n">
        <v>1</v>
      </c>
      <c r="Q112" s="207" t="n">
        <v>1</v>
      </c>
      <c r="R112" s="449"/>
    </row>
    <row r="113" customFormat="false" ht="12.75" hidden="false" customHeight="false" outlineLevel="0" collapsed="false">
      <c r="A113" s="0" t="s">
        <v>357</v>
      </c>
      <c r="C113" s="270"/>
      <c r="D113" s="639"/>
      <c r="F113" s="463"/>
      <c r="G113" s="701"/>
      <c r="H113" s="207" t="n">
        <v>1</v>
      </c>
      <c r="I113" s="207" t="n">
        <v>1</v>
      </c>
      <c r="J113" s="207" t="n">
        <v>1</v>
      </c>
      <c r="K113" s="207" t="n">
        <v>1</v>
      </c>
      <c r="L113" s="207" t="n">
        <v>1</v>
      </c>
      <c r="M113" s="207" t="n">
        <v>1</v>
      </c>
      <c r="N113" s="207" t="n">
        <v>1</v>
      </c>
      <c r="O113" s="207" t="n">
        <v>1</v>
      </c>
      <c r="P113" s="207" t="n">
        <v>1</v>
      </c>
      <c r="Q113" s="207" t="n">
        <v>1</v>
      </c>
      <c r="R113" s="449"/>
    </row>
    <row r="114" customFormat="false" ht="12.75" hidden="false" customHeight="false" outlineLevel="0" collapsed="false">
      <c r="C114" s="270"/>
      <c r="D114" s="639"/>
      <c r="F114" s="463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449"/>
    </row>
    <row r="115" customFormat="false" ht="12.75" hidden="false" customHeight="false" outlineLevel="0" collapsed="false">
      <c r="R115" s="449"/>
    </row>
    <row r="116" customFormat="false" ht="15.75" hidden="false" customHeight="false" outlineLevel="0" collapsed="false">
      <c r="A116" s="497" t="s">
        <v>358</v>
      </c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449"/>
    </row>
    <row r="117" customFormat="false" ht="12.75" hidden="false" customHeight="true" outlineLevel="0" collapsed="false">
      <c r="A117" s="501"/>
      <c r="B117" s="449"/>
      <c r="C117" s="449"/>
      <c r="D117" s="505"/>
      <c r="E117" s="505"/>
      <c r="F117" s="295"/>
      <c r="G117" s="306" t="s">
        <v>192</v>
      </c>
      <c r="H117" s="307"/>
      <c r="I117" s="295"/>
      <c r="J117" s="295"/>
      <c r="K117" s="176"/>
      <c r="L117" s="295"/>
      <c r="M117" s="176"/>
      <c r="N117" s="176"/>
      <c r="O117" s="176"/>
      <c r="P117" s="176"/>
      <c r="Q117" s="103"/>
      <c r="R117" s="449"/>
    </row>
    <row r="118" customFormat="false" ht="12.75" hidden="false" customHeight="true" outlineLevel="0" collapsed="false">
      <c r="A118" s="501"/>
      <c r="B118" s="449"/>
      <c r="C118" s="449"/>
      <c r="D118" s="308" t="n">
        <v>1998</v>
      </c>
      <c r="E118" s="308" t="n">
        <v>1999</v>
      </c>
      <c r="F118" s="308" t="n">
        <v>2000</v>
      </c>
      <c r="G118" s="308" t="n">
        <v>2001</v>
      </c>
      <c r="H118" s="309" t="n">
        <v>2002</v>
      </c>
      <c r="I118" s="309" t="n">
        <v>2003</v>
      </c>
      <c r="J118" s="309" t="n">
        <v>2004</v>
      </c>
      <c r="K118" s="309" t="n">
        <v>2005</v>
      </c>
      <c r="L118" s="309" t="n">
        <v>2006</v>
      </c>
      <c r="M118" s="310" t="n">
        <v>2007</v>
      </c>
      <c r="N118" s="310" t="n">
        <v>2008</v>
      </c>
      <c r="O118" s="310" t="n">
        <v>2009</v>
      </c>
      <c r="P118" s="310" t="n">
        <v>2010</v>
      </c>
      <c r="Q118" s="441" t="n">
        <v>2011</v>
      </c>
      <c r="R118" s="449"/>
    </row>
    <row r="119" customFormat="false" ht="12.75" hidden="false" customHeight="true" outlineLevel="0" collapsed="false">
      <c r="A119" s="449"/>
      <c r="B119" s="449"/>
      <c r="C119" s="449"/>
      <c r="F119" s="704" t="s">
        <v>193</v>
      </c>
      <c r="G119" s="308" t="n">
        <v>1</v>
      </c>
      <c r="H119" s="309" t="n">
        <v>2</v>
      </c>
      <c r="I119" s="309" t="n">
        <v>3</v>
      </c>
      <c r="J119" s="309" t="n">
        <v>4</v>
      </c>
      <c r="K119" s="309" t="n">
        <v>5</v>
      </c>
      <c r="L119" s="309" t="n">
        <v>6</v>
      </c>
      <c r="M119" s="309" t="n">
        <v>7</v>
      </c>
      <c r="N119" s="309" t="n">
        <v>8</v>
      </c>
      <c r="O119" s="309" t="n">
        <v>9</v>
      </c>
      <c r="P119" s="309" t="n">
        <v>10</v>
      </c>
      <c r="Q119" s="387" t="n">
        <v>11</v>
      </c>
      <c r="R119" s="449"/>
    </row>
    <row r="120" customFormat="false" ht="12.75" hidden="false" customHeight="false" outlineLevel="0" collapsed="false">
      <c r="A120" s="371" t="s">
        <v>316</v>
      </c>
      <c r="B120" s="507" t="s">
        <v>268</v>
      </c>
      <c r="R120" s="449"/>
    </row>
    <row r="121" customFormat="false" ht="12.75" hidden="false" customHeight="false" outlineLevel="0" collapsed="false">
      <c r="A121" s="691" t="s">
        <v>317</v>
      </c>
      <c r="B121" s="692" t="n">
        <v>1</v>
      </c>
      <c r="D121" s="669" t="n">
        <v>24000</v>
      </c>
      <c r="E121" s="669" t="n">
        <v>6000</v>
      </c>
      <c r="F121" s="669" t="n">
        <v>8000</v>
      </c>
      <c r="G121" s="670" t="n">
        <f aca="false">4000*2</f>
        <v>8000</v>
      </c>
      <c r="H121" s="671" t="n">
        <f aca="false">$B$121*G121*H127</f>
        <v>8080</v>
      </c>
      <c r="I121" s="671" t="n">
        <f aca="false">$B$121*H121*I127</f>
        <v>8160.8</v>
      </c>
      <c r="J121" s="671" t="n">
        <f aca="false">$B$121*I121*J127</f>
        <v>8242.408</v>
      </c>
      <c r="K121" s="671" t="n">
        <f aca="false">$B$121*J121*K127</f>
        <v>8324.83208</v>
      </c>
      <c r="L121" s="671" t="n">
        <f aca="false">$B$121*K121*L127</f>
        <v>8408.0804008</v>
      </c>
      <c r="M121" s="671" t="n">
        <f aca="false">$B$121*L121*M127</f>
        <v>8492.161204808</v>
      </c>
      <c r="N121" s="671" t="n">
        <f aca="false">$B$121*M121*N127</f>
        <v>8577.08281685608</v>
      </c>
      <c r="O121" s="671" t="n">
        <f aca="false">$B$121*N121*O127</f>
        <v>8662.85364502464</v>
      </c>
      <c r="P121" s="671" t="n">
        <f aca="false">$B$121*O121*P127</f>
        <v>8749.48218147489</v>
      </c>
      <c r="Q121" s="671" t="n">
        <f aca="false">$B$121*P121*Q127</f>
        <v>8836.97700328964</v>
      </c>
      <c r="R121" s="449"/>
    </row>
    <row r="122" customFormat="false" ht="12.75" hidden="false" customHeight="false" outlineLevel="0" collapsed="false">
      <c r="A122" s="691" t="s">
        <v>318</v>
      </c>
      <c r="B122" s="692" t="n">
        <v>0</v>
      </c>
      <c r="D122" s="669" t="n">
        <v>0</v>
      </c>
      <c r="E122" s="669" t="n">
        <v>0</v>
      </c>
      <c r="F122" s="669" t="n">
        <v>0</v>
      </c>
      <c r="G122" s="670" t="n">
        <v>0</v>
      </c>
      <c r="H122" s="671" t="n">
        <f aca="false">$B$122*G122*H128</f>
        <v>0</v>
      </c>
      <c r="I122" s="671" t="n">
        <f aca="false">$B$122*H122*I128</f>
        <v>0</v>
      </c>
      <c r="J122" s="671" t="n">
        <f aca="false">$B$122*I122*J128</f>
        <v>0</v>
      </c>
      <c r="K122" s="671" t="n">
        <f aca="false">$B$122*J122*K128</f>
        <v>0</v>
      </c>
      <c r="L122" s="671" t="n">
        <f aca="false">$B$122*K122*L128</f>
        <v>0</v>
      </c>
      <c r="M122" s="671" t="n">
        <f aca="false">$B$122*L122*M128</f>
        <v>0</v>
      </c>
      <c r="N122" s="671" t="n">
        <f aca="false">$B$122*M122*N128</f>
        <v>0</v>
      </c>
      <c r="O122" s="671" t="n">
        <f aca="false">$B$122*N122*O128</f>
        <v>0</v>
      </c>
      <c r="P122" s="671" t="n">
        <f aca="false">$B$122*O122*P128</f>
        <v>0</v>
      </c>
      <c r="Q122" s="671" t="n">
        <f aca="false">$B$122*P122*Q128</f>
        <v>0</v>
      </c>
      <c r="R122" s="449"/>
    </row>
    <row r="123" customFormat="false" ht="12.75" hidden="false" customHeight="false" outlineLevel="0" collapsed="false">
      <c r="A123" s="691" t="s">
        <v>319</v>
      </c>
      <c r="B123" s="692" t="n">
        <v>0</v>
      </c>
      <c r="D123" s="693" t="n">
        <v>0</v>
      </c>
      <c r="E123" s="693" t="n">
        <v>0</v>
      </c>
      <c r="F123" s="693" t="n">
        <v>0</v>
      </c>
      <c r="G123" s="694" t="n">
        <v>0</v>
      </c>
      <c r="H123" s="695" t="n">
        <f aca="false">$B$123*G123*H129</f>
        <v>0</v>
      </c>
      <c r="I123" s="695" t="n">
        <f aca="false">$B$123*H123*I129</f>
        <v>0</v>
      </c>
      <c r="J123" s="695" t="n">
        <f aca="false">$B$123*I123*J129</f>
        <v>0</v>
      </c>
      <c r="K123" s="695" t="n">
        <f aca="false">$B$123*J123*K129</f>
        <v>0</v>
      </c>
      <c r="L123" s="695" t="n">
        <f aca="false">$B$123*K123*L129</f>
        <v>0</v>
      </c>
      <c r="M123" s="695" t="n">
        <f aca="false">$B$123*L123*M129</f>
        <v>0</v>
      </c>
      <c r="N123" s="695" t="n">
        <f aca="false">$B$123*M123*N129</f>
        <v>0</v>
      </c>
      <c r="O123" s="695" t="n">
        <f aca="false">$B$123*N123*O129</f>
        <v>0</v>
      </c>
      <c r="P123" s="695" t="n">
        <f aca="false">$B$123*O123*P129</f>
        <v>0</v>
      </c>
      <c r="Q123" s="695" t="n">
        <f aca="false">$B$123*P123*Q129</f>
        <v>0</v>
      </c>
      <c r="R123" s="449"/>
    </row>
    <row r="124" customFormat="false" ht="12.75" hidden="false" customHeight="false" outlineLevel="0" collapsed="false">
      <c r="A124" s="705" t="s">
        <v>320</v>
      </c>
      <c r="D124" s="631" t="n">
        <f aca="false">SUM(D121:D123)</f>
        <v>24000</v>
      </c>
      <c r="E124" s="631" t="n">
        <f aca="false">SUM(E121:E123)</f>
        <v>6000</v>
      </c>
      <c r="F124" s="631" t="n">
        <f aca="false">SUM(F121:F123)</f>
        <v>8000</v>
      </c>
      <c r="G124" s="631" t="n">
        <f aca="false">SUM(G121:G123)</f>
        <v>8000</v>
      </c>
      <c r="H124" s="426" t="n">
        <f aca="false">SUM(H121:H123)</f>
        <v>8080</v>
      </c>
      <c r="I124" s="426" t="n">
        <f aca="false">SUM(I121:I123)</f>
        <v>8160.8</v>
      </c>
      <c r="J124" s="426" t="n">
        <f aca="false">SUM(J121:J123)</f>
        <v>8242.408</v>
      </c>
      <c r="K124" s="426" t="n">
        <f aca="false">SUM(K121:K123)</f>
        <v>8324.83208</v>
      </c>
      <c r="L124" s="426" t="n">
        <f aca="false">SUM(L121:L123)</f>
        <v>8408.0804008</v>
      </c>
      <c r="M124" s="426" t="n">
        <f aca="false">SUM(M121:M123)</f>
        <v>8492.161204808</v>
      </c>
      <c r="N124" s="426" t="n">
        <f aca="false">SUM(N121:N123)</f>
        <v>8577.08281685608</v>
      </c>
      <c r="O124" s="426" t="n">
        <f aca="false">SUM(O121:O123)</f>
        <v>8662.85364502464</v>
      </c>
      <c r="P124" s="426" t="n">
        <f aca="false">SUM(P121:P123)</f>
        <v>8749.48218147489</v>
      </c>
      <c r="Q124" s="426" t="n">
        <f aca="false">SUM(Q121:Q123)</f>
        <v>8836.97700328964</v>
      </c>
      <c r="R124" s="449"/>
    </row>
    <row r="125" customFormat="false" ht="12.75" hidden="false" customHeight="false" outlineLevel="0" collapsed="false">
      <c r="A125" s="529"/>
      <c r="D125" s="706"/>
      <c r="E125" s="706"/>
      <c r="F125" s="706"/>
      <c r="G125" s="426"/>
      <c r="H125" s="426"/>
      <c r="I125" s="426"/>
      <c r="J125" s="426"/>
      <c r="K125" s="426"/>
      <c r="L125" s="426"/>
      <c r="M125" s="426"/>
      <c r="N125" s="426"/>
      <c r="O125" s="426"/>
      <c r="P125" s="426"/>
      <c r="Q125" s="426"/>
      <c r="R125" s="449"/>
    </row>
    <row r="126" customFormat="false" ht="15.75" hidden="false" customHeight="false" outlineLevel="0" collapsed="false">
      <c r="A126" s="696" t="s">
        <v>351</v>
      </c>
      <c r="B126" s="131"/>
      <c r="C126" s="697"/>
      <c r="D126" s="698"/>
      <c r="E126" s="131"/>
      <c r="F126" s="699"/>
      <c r="G126" s="700"/>
      <c r="H126" s="700"/>
      <c r="I126" s="700"/>
      <c r="J126" s="700"/>
      <c r="K126" s="700"/>
      <c r="L126" s="700"/>
      <c r="M126" s="700"/>
      <c r="N126" s="700"/>
      <c r="O126" s="700"/>
      <c r="P126" s="700"/>
      <c r="Q126" s="700"/>
      <c r="R126" s="503"/>
    </row>
    <row r="127" customFormat="false" ht="12.75" hidden="false" customHeight="false" outlineLevel="0" collapsed="false">
      <c r="A127" s="707" t="s">
        <v>317</v>
      </c>
      <c r="C127" s="270"/>
      <c r="D127" s="639"/>
      <c r="F127" s="463"/>
      <c r="G127" s="701"/>
      <c r="H127" s="207" t="n">
        <v>1.01</v>
      </c>
      <c r="I127" s="207" t="n">
        <v>1.01</v>
      </c>
      <c r="J127" s="207" t="n">
        <v>1.01</v>
      </c>
      <c r="K127" s="207" t="n">
        <v>1.01</v>
      </c>
      <c r="L127" s="207" t="n">
        <v>1.01</v>
      </c>
      <c r="M127" s="207" t="n">
        <v>1.01</v>
      </c>
      <c r="N127" s="207" t="n">
        <v>1.01</v>
      </c>
      <c r="O127" s="207" t="n">
        <v>1.01</v>
      </c>
      <c r="P127" s="207" t="n">
        <v>1.01</v>
      </c>
      <c r="Q127" s="207" t="n">
        <v>1.01</v>
      </c>
      <c r="R127" s="449"/>
    </row>
    <row r="128" customFormat="false" ht="12.75" hidden="false" customHeight="false" outlineLevel="0" collapsed="false">
      <c r="A128" s="707" t="s">
        <v>318</v>
      </c>
      <c r="C128" s="270"/>
      <c r="D128" s="639"/>
      <c r="F128" s="463"/>
      <c r="G128" s="701"/>
      <c r="H128" s="207" t="n">
        <v>1</v>
      </c>
      <c r="I128" s="207" t="n">
        <v>1</v>
      </c>
      <c r="J128" s="207" t="n">
        <v>1</v>
      </c>
      <c r="K128" s="207" t="n">
        <v>1</v>
      </c>
      <c r="L128" s="207" t="n">
        <v>1</v>
      </c>
      <c r="M128" s="207" t="n">
        <v>1</v>
      </c>
      <c r="N128" s="207" t="n">
        <v>1</v>
      </c>
      <c r="O128" s="207" t="n">
        <v>1</v>
      </c>
      <c r="P128" s="207" t="n">
        <v>1</v>
      </c>
      <c r="Q128" s="207" t="n">
        <v>1</v>
      </c>
      <c r="R128" s="449"/>
    </row>
    <row r="129" customFormat="false" ht="12.75" hidden="false" customHeight="false" outlineLevel="0" collapsed="false">
      <c r="A129" s="707" t="s">
        <v>319</v>
      </c>
      <c r="C129" s="270"/>
      <c r="D129" s="639"/>
      <c r="F129" s="463"/>
      <c r="G129" s="701"/>
      <c r="H129" s="207" t="n">
        <v>1</v>
      </c>
      <c r="I129" s="207" t="n">
        <v>1</v>
      </c>
      <c r="J129" s="207" t="n">
        <v>1</v>
      </c>
      <c r="K129" s="207" t="n">
        <v>1</v>
      </c>
      <c r="L129" s="207" t="n">
        <v>1</v>
      </c>
      <c r="M129" s="207" t="n">
        <v>1</v>
      </c>
      <c r="N129" s="207" t="n">
        <v>1</v>
      </c>
      <c r="O129" s="207" t="n">
        <v>1</v>
      </c>
      <c r="P129" s="207" t="n">
        <v>1</v>
      </c>
      <c r="Q129" s="207" t="n">
        <v>1</v>
      </c>
      <c r="R129" s="449"/>
    </row>
    <row r="130" customFormat="false" ht="12.75" hidden="false" customHeight="false" outlineLevel="0" collapsed="false">
      <c r="A130" s="707"/>
      <c r="C130" s="270"/>
      <c r="D130" s="639"/>
      <c r="F130" s="463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449"/>
    </row>
    <row r="131" customFormat="false" ht="12.75" hidden="false" customHeight="false" outlineLevel="0" collapsed="false">
      <c r="A131" s="371"/>
      <c r="C131" s="270"/>
      <c r="D131" s="639"/>
      <c r="F131" s="463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449"/>
    </row>
    <row r="132" customFormat="false" ht="15.75" hidden="false" customHeight="false" outlineLevel="0" collapsed="false">
      <c r="A132" s="497" t="s">
        <v>359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449"/>
    </row>
    <row r="133" customFormat="false" ht="12.75" hidden="false" customHeight="false" outlineLevel="0" collapsed="false">
      <c r="D133" s="505"/>
      <c r="E133" s="505"/>
      <c r="F133" s="295"/>
      <c r="G133" s="306" t="s">
        <v>192</v>
      </c>
      <c r="H133" s="307"/>
      <c r="I133" s="295"/>
      <c r="J133" s="295"/>
      <c r="K133" s="176"/>
      <c r="L133" s="295"/>
      <c r="M133" s="176"/>
      <c r="N133" s="176"/>
      <c r="O133" s="176"/>
      <c r="P133" s="176"/>
      <c r="Q133" s="103"/>
    </row>
    <row r="134" customFormat="false" ht="12.75" hidden="false" customHeight="false" outlineLevel="0" collapsed="false">
      <c r="D134" s="308" t="n">
        <v>1998</v>
      </c>
      <c r="E134" s="308" t="n">
        <v>1999</v>
      </c>
      <c r="F134" s="308" t="n">
        <v>2000</v>
      </c>
      <c r="G134" s="308" t="n">
        <v>2001</v>
      </c>
      <c r="H134" s="309" t="n">
        <v>2002</v>
      </c>
      <c r="I134" s="309" t="n">
        <v>2003</v>
      </c>
      <c r="J134" s="309" t="n">
        <v>2004</v>
      </c>
      <c r="K134" s="309" t="n">
        <v>2005</v>
      </c>
      <c r="L134" s="309" t="n">
        <v>2006</v>
      </c>
      <c r="M134" s="310" t="n">
        <v>2007</v>
      </c>
      <c r="N134" s="310" t="n">
        <v>2008</v>
      </c>
      <c r="O134" s="310" t="n">
        <v>2009</v>
      </c>
      <c r="P134" s="310" t="n">
        <v>2010</v>
      </c>
      <c r="Q134" s="441" t="n">
        <v>2011</v>
      </c>
    </row>
    <row r="135" customFormat="false" ht="12.75" hidden="false" customHeight="false" outlineLevel="0" collapsed="false">
      <c r="F135" s="704" t="s">
        <v>193</v>
      </c>
      <c r="G135" s="308" t="n">
        <v>1</v>
      </c>
      <c r="H135" s="393" t="n">
        <v>2</v>
      </c>
      <c r="I135" s="393" t="n">
        <v>3</v>
      </c>
      <c r="J135" s="393" t="n">
        <v>4</v>
      </c>
      <c r="K135" s="393" t="n">
        <v>5</v>
      </c>
      <c r="L135" s="393" t="n">
        <v>6</v>
      </c>
      <c r="M135" s="393" t="n">
        <v>7</v>
      </c>
      <c r="N135" s="393" t="n">
        <v>8</v>
      </c>
      <c r="O135" s="393" t="n">
        <v>9</v>
      </c>
      <c r="P135" s="393" t="n">
        <v>10</v>
      </c>
      <c r="Q135" s="708" t="n">
        <v>11</v>
      </c>
    </row>
    <row r="136" customFormat="false" ht="12.75" hidden="false" customHeight="false" outlineLevel="0" collapsed="false">
      <c r="A136" s="548" t="s">
        <v>283</v>
      </c>
      <c r="B136" s="160"/>
      <c r="D136" s="611"/>
      <c r="E136" s="611"/>
      <c r="F136" s="95"/>
      <c r="G136" s="449"/>
      <c r="H136" s="709" t="n">
        <f aca="false">1/Assumptions!$D$22</f>
        <v>0.025</v>
      </c>
      <c r="I136" s="709" t="n">
        <f aca="false">1/Assumptions!$D$22</f>
        <v>0.025</v>
      </c>
      <c r="J136" s="709" t="n">
        <f aca="false">1/Assumptions!$D$22</f>
        <v>0.025</v>
      </c>
      <c r="K136" s="709" t="n">
        <f aca="false">1/Assumptions!$D$22</f>
        <v>0.025</v>
      </c>
      <c r="L136" s="709" t="n">
        <f aca="false">1/Assumptions!$D$22</f>
        <v>0.025</v>
      </c>
      <c r="M136" s="709" t="n">
        <f aca="false">1/Assumptions!$D$22</f>
        <v>0.025</v>
      </c>
      <c r="N136" s="709" t="n">
        <f aca="false">1/Assumptions!$D$22</f>
        <v>0.025</v>
      </c>
      <c r="O136" s="709" t="n">
        <f aca="false">1/Assumptions!$D$22</f>
        <v>0.025</v>
      </c>
      <c r="P136" s="709" t="n">
        <f aca="false">1/Assumptions!$D$22</f>
        <v>0.025</v>
      </c>
      <c r="Q136" s="709" t="n">
        <f aca="false">1/Assumptions!$D$22</f>
        <v>0.025</v>
      </c>
      <c r="R136" s="76"/>
    </row>
    <row r="137" customFormat="false" ht="12.75" hidden="false" customHeight="false" outlineLevel="0" collapsed="false">
      <c r="A137" s="95" t="s">
        <v>360</v>
      </c>
      <c r="B137" s="710"/>
      <c r="C137" s="711"/>
      <c r="D137" s="712"/>
      <c r="E137" s="712"/>
      <c r="F137" s="513"/>
      <c r="G137" s="508"/>
      <c r="H137" s="443" t="n">
        <f aca="false">'Pipeline Co BS'!J26/Assumptions!$D$22</f>
        <v>38850</v>
      </c>
      <c r="I137" s="443" t="n">
        <f aca="false">+H137</f>
        <v>38850</v>
      </c>
      <c r="J137" s="443" t="n">
        <f aca="false">+I137</f>
        <v>38850</v>
      </c>
      <c r="K137" s="443" t="n">
        <f aca="false">+J137</f>
        <v>38850</v>
      </c>
      <c r="L137" s="443" t="n">
        <f aca="false">+K137</f>
        <v>38850</v>
      </c>
      <c r="M137" s="443" t="n">
        <f aca="false">+L137</f>
        <v>38850</v>
      </c>
      <c r="N137" s="443" t="n">
        <f aca="false">+M137</f>
        <v>38850</v>
      </c>
      <c r="O137" s="443" t="n">
        <f aca="false">+N137</f>
        <v>38850</v>
      </c>
      <c r="P137" s="443" t="n">
        <f aca="false">+O137</f>
        <v>38850</v>
      </c>
      <c r="Q137" s="443" t="n">
        <f aca="false">+P137</f>
        <v>38850</v>
      </c>
      <c r="R137" s="443"/>
    </row>
    <row r="138" customFormat="false" ht="12.75" hidden="false" customHeight="false" outlineLevel="0" collapsed="false">
      <c r="A138" s="95" t="s">
        <v>361</v>
      </c>
      <c r="B138" s="710"/>
      <c r="C138" s="711"/>
      <c r="D138" s="712"/>
      <c r="E138" s="712"/>
      <c r="F138" s="513"/>
      <c r="G138" s="508"/>
      <c r="H138" s="443" t="n">
        <f aca="false">'Pipeline Co BS'!J27/Assumptions!$D$22</f>
        <v>18075</v>
      </c>
      <c r="I138" s="443" t="n">
        <f aca="false">H138</f>
        <v>18075</v>
      </c>
      <c r="J138" s="443" t="n">
        <f aca="false">I138</f>
        <v>18075</v>
      </c>
      <c r="K138" s="443" t="n">
        <f aca="false">J138</f>
        <v>18075</v>
      </c>
      <c r="L138" s="443" t="n">
        <f aca="false">K138</f>
        <v>18075</v>
      </c>
      <c r="M138" s="443" t="n">
        <f aca="false">L138</f>
        <v>18075</v>
      </c>
      <c r="N138" s="443" t="n">
        <f aca="false">M138</f>
        <v>18075</v>
      </c>
      <c r="O138" s="443" t="n">
        <f aca="false">N138</f>
        <v>18075</v>
      </c>
      <c r="P138" s="443" t="n">
        <f aca="false">O138</f>
        <v>18075</v>
      </c>
      <c r="Q138" s="443" t="n">
        <f aca="false">P138</f>
        <v>18075</v>
      </c>
      <c r="R138" s="443"/>
    </row>
    <row r="139" customFormat="false" ht="12.75" hidden="false" customHeight="false" outlineLevel="0" collapsed="false">
      <c r="A139" s="95" t="s">
        <v>285</v>
      </c>
      <c r="D139" s="713"/>
      <c r="E139" s="713"/>
      <c r="F139" s="520"/>
      <c r="G139" s="508"/>
      <c r="H139" s="714" t="n">
        <f aca="false">-(('Pipeline Co CF'!J69*H136))</f>
        <v>1515</v>
      </c>
      <c r="I139" s="714" t="n">
        <f aca="false">-(('Pipeline Co CF'!K69*I136)+('Pipeline Co CF'!J69*H136))</f>
        <v>3045.15</v>
      </c>
      <c r="J139" s="714" t="n">
        <f aca="false">-(('Pipeline Co CF'!L69*J136)+('Pipeline Co CF'!K69*I136)+('Pipeline Co CF'!J69*H136))</f>
        <v>4590.6015</v>
      </c>
      <c r="K139" s="714" t="n">
        <f aca="false">-((K136*'Pipeline Co CF'!M69)+('Pipeline Co CF'!L69*J136)+('Pipeline Co CF'!K69*I136)+('Pipeline Co CF'!J69*H136))</f>
        <v>6151.507515</v>
      </c>
      <c r="L139" s="714" t="n">
        <f aca="false">-((L136*'Pipeline Co CF'!N69)+(K136*'Pipeline Co CF'!M69)+('Pipeline Co CF'!L69*J136)+('Pipeline Co CF'!K69*I136)+('Pipeline Co CF'!J69*H136))</f>
        <v>7728.02259015</v>
      </c>
      <c r="M139" s="714" t="n">
        <f aca="false">-((M136*'Pipeline Co CF'!O69)+(L136*'Pipeline Co CF'!N69)+(K136*'Pipeline Co CF'!M69)+('Pipeline Co CF'!L69*J136)+('Pipeline Co CF'!K69*I136)+('Pipeline Co CF'!J69*H136))</f>
        <v>9320.3028160515</v>
      </c>
      <c r="N139" s="714" t="n">
        <f aca="false">-((N136*'Pipeline Co CF'!P69)+(M136*'Pipeline Co CF'!O69)+(L136*'Pipeline Co CF'!N69)+(K136*'Pipeline Co CF'!M69)+('Pipeline Co CF'!L69*J136)+('Pipeline Co CF'!K69*I136)+('Pipeline Co CF'!J69*H136))</f>
        <v>10928.505844212</v>
      </c>
      <c r="O139" s="714" t="n">
        <f aca="false">-(('Pipeline Co CF'!Q69*'Pipeline Co IS'!O136)+(N136*'Pipeline Co CF'!P69)+(M136*'Pipeline Co CF'!O69)+(L136*'Pipeline Co CF'!N69)+(K136*'Pipeline Co CF'!M69)+('Pipeline Co CF'!L69*J136)+('Pipeline Co CF'!K69*I136)+('Pipeline Co CF'!J69*H136))</f>
        <v>12552.7909026541</v>
      </c>
      <c r="P139" s="714" t="n">
        <f aca="false">-((P136*'Pipeline Co CF'!R69)+('Pipeline Co CF'!Q69*'Pipeline Co IS'!O136)+(N136*'Pipeline Co CF'!P69)+(M136*'Pipeline Co CF'!O69)+(L136*'Pipeline Co CF'!N69)+(K136*'Pipeline Co CF'!M69)+('Pipeline Co CF'!L69*J136)+('Pipeline Co CF'!K69*I136)+('Pipeline Co CF'!J69*H136))</f>
        <v>14193.3188116807</v>
      </c>
      <c r="Q139" s="714" t="n">
        <f aca="false">-((Q136*'Pipeline Co CF'!S69)+(P136*'Pipeline Co CF'!R69)+('Pipeline Co CF'!Q69*'Pipeline Co IS'!O136)+(N136*'Pipeline Co CF'!P69)+(M136*'Pipeline Co CF'!O69)+(L136*'Pipeline Co CF'!N69)+(K136*'Pipeline Co CF'!M69)+('Pipeline Co CF'!L69*J136)+('Pipeline Co CF'!K69*I136)+('Pipeline Co CF'!J69*H136))</f>
        <v>15850.2519997975</v>
      </c>
      <c r="R139" s="443"/>
    </row>
    <row r="140" customFormat="false" ht="12.75" hidden="false" customHeight="false" outlineLevel="0" collapsed="false">
      <c r="A140" s="529" t="s">
        <v>362</v>
      </c>
      <c r="D140" s="712"/>
      <c r="E140" s="712"/>
      <c r="F140" s="513"/>
      <c r="G140" s="508"/>
      <c r="H140" s="426" t="n">
        <f aca="false">SUM(H137:H139)</f>
        <v>58440</v>
      </c>
      <c r="I140" s="426" t="n">
        <f aca="false">SUM(I137:I139)</f>
        <v>59970.15</v>
      </c>
      <c r="J140" s="426" t="n">
        <f aca="false">SUM(J137:J139)</f>
        <v>61515.6015</v>
      </c>
      <c r="K140" s="426" t="n">
        <f aca="false">SUM(K137:K139)</f>
        <v>63076.507515</v>
      </c>
      <c r="L140" s="426" t="n">
        <f aca="false">SUM(L137:L139)</f>
        <v>64653.02259015</v>
      </c>
      <c r="M140" s="426" t="n">
        <f aca="false">SUM(M137:M139)</f>
        <v>66245.3028160515</v>
      </c>
      <c r="N140" s="426" t="n">
        <f aca="false">SUM(N137:N139)</f>
        <v>67853.505844212</v>
      </c>
      <c r="O140" s="426" t="n">
        <f aca="false">SUM(O137:O139)</f>
        <v>69477.7909026541</v>
      </c>
      <c r="P140" s="426" t="n">
        <f aca="false">SUM(P137:P139)</f>
        <v>71118.3188116807</v>
      </c>
      <c r="Q140" s="426" t="n">
        <f aca="false">SUM(Q137:Q139)</f>
        <v>72775.2519997975</v>
      </c>
      <c r="R140" s="426"/>
    </row>
    <row r="141" customFormat="false" ht="12.75" hidden="false" customHeight="false" outlineLevel="0" collapsed="false">
      <c r="A141" s="95"/>
      <c r="D141" s="712"/>
      <c r="E141" s="712"/>
      <c r="F141" s="513"/>
      <c r="G141" s="513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7"/>
    </row>
    <row r="142" customFormat="false" ht="12.75" hidden="false" customHeight="false" outlineLevel="0" collapsed="false">
      <c r="A142" s="541" t="s">
        <v>286</v>
      </c>
      <c r="D142" s="712"/>
      <c r="E142" s="712"/>
      <c r="F142" s="513"/>
      <c r="G142" s="508"/>
      <c r="H142" s="715" t="n">
        <v>0.045</v>
      </c>
      <c r="I142" s="716" t="n">
        <v>0.045</v>
      </c>
      <c r="J142" s="717" t="n">
        <v>0.045</v>
      </c>
      <c r="K142" s="716" t="n">
        <v>0.045</v>
      </c>
      <c r="L142" s="717" t="n">
        <v>0.045</v>
      </c>
      <c r="M142" s="716" t="n">
        <v>0.045</v>
      </c>
      <c r="N142" s="717" t="n">
        <v>0.045</v>
      </c>
      <c r="O142" s="716" t="n">
        <v>0.045</v>
      </c>
      <c r="P142" s="717" t="n">
        <v>0.045</v>
      </c>
      <c r="Q142" s="718" t="n">
        <v>0.045</v>
      </c>
      <c r="R142" s="719"/>
    </row>
    <row r="143" customFormat="false" ht="12.75" hidden="false" customHeight="false" outlineLevel="0" collapsed="false">
      <c r="A143" s="95" t="s">
        <v>363</v>
      </c>
      <c r="B143" s="558"/>
      <c r="D143" s="712"/>
      <c r="E143" s="712"/>
      <c r="F143" s="513"/>
      <c r="G143" s="508"/>
      <c r="H143" s="95" t="n">
        <f aca="false">'Pipeline Co BS'!J26*H142</f>
        <v>69930</v>
      </c>
      <c r="I143" s="95" t="n">
        <f aca="false">'Pipeline Co DCF'!$G$48*I142</f>
        <v>129403.349756622</v>
      </c>
      <c r="J143" s="95" t="n">
        <f aca="false">'Pipeline Co DCF'!$G$48*J142</f>
        <v>129403.349756622</v>
      </c>
      <c r="K143" s="95" t="n">
        <f aca="false">'Pipeline Co DCF'!$G$48*K142</f>
        <v>129403.349756622</v>
      </c>
      <c r="L143" s="95" t="n">
        <f aca="false">'Pipeline Co DCF'!$G$48*L142</f>
        <v>129403.349756622</v>
      </c>
      <c r="M143" s="95" t="n">
        <f aca="false">'Pipeline Co DCF'!$G$48*M142</f>
        <v>129403.349756622</v>
      </c>
      <c r="N143" s="95" t="n">
        <f aca="false">'Pipeline Co DCF'!$G$48*N142</f>
        <v>129403.349756622</v>
      </c>
      <c r="O143" s="95" t="n">
        <f aca="false">'Pipeline Co DCF'!$G$48*O142</f>
        <v>129403.349756622</v>
      </c>
      <c r="P143" s="95" t="n">
        <f aca="false">'Pipeline Co DCF'!$G$48*P142</f>
        <v>129403.349756622</v>
      </c>
      <c r="Q143" s="95" t="n">
        <f aca="false">'Pipeline Co DCF'!$G$48*Q142</f>
        <v>129403.349756622</v>
      </c>
      <c r="R143" s="95"/>
    </row>
    <row r="144" customFormat="false" ht="12.75" hidden="false" customHeight="false" outlineLevel="0" collapsed="false">
      <c r="A144" s="95" t="s">
        <v>364</v>
      </c>
      <c r="B144" s="558"/>
      <c r="D144" s="712"/>
      <c r="E144" s="712"/>
      <c r="F144" s="513"/>
      <c r="G144" s="508"/>
      <c r="H144" s="95" t="n">
        <v>0</v>
      </c>
      <c r="I144" s="95" t="n">
        <f aca="false">H144</f>
        <v>0</v>
      </c>
      <c r="J144" s="95" t="n">
        <f aca="false">I144</f>
        <v>0</v>
      </c>
      <c r="K144" s="95" t="n">
        <f aca="false">J144</f>
        <v>0</v>
      </c>
      <c r="L144" s="95" t="n">
        <f aca="false">K144</f>
        <v>0</v>
      </c>
      <c r="M144" s="95" t="n">
        <f aca="false">L144</f>
        <v>0</v>
      </c>
      <c r="N144" s="95" t="n">
        <f aca="false">M144</f>
        <v>0</v>
      </c>
      <c r="O144" s="95" t="n">
        <f aca="false">N144</f>
        <v>0</v>
      </c>
      <c r="P144" s="95" t="n">
        <f aca="false">O144</f>
        <v>0</v>
      </c>
      <c r="Q144" s="95" t="n">
        <f aca="false">P144</f>
        <v>0</v>
      </c>
      <c r="R144" s="95"/>
    </row>
    <row r="145" customFormat="false" ht="15" hidden="false" customHeight="false" outlineLevel="0" collapsed="false">
      <c r="A145" s="95" t="s">
        <v>285</v>
      </c>
      <c r="B145" s="530"/>
      <c r="D145" s="720"/>
      <c r="E145" s="720"/>
      <c r="F145" s="513"/>
      <c r="G145" s="508"/>
      <c r="H145" s="714" t="n">
        <f aca="false">H139</f>
        <v>1515</v>
      </c>
      <c r="I145" s="714" t="n">
        <f aca="false">I139</f>
        <v>3045.15</v>
      </c>
      <c r="J145" s="714" t="n">
        <f aca="false">J139</f>
        <v>4590.6015</v>
      </c>
      <c r="K145" s="714" t="n">
        <f aca="false">K139</f>
        <v>6151.507515</v>
      </c>
      <c r="L145" s="714" t="n">
        <f aca="false">L139</f>
        <v>7728.02259015</v>
      </c>
      <c r="M145" s="714" t="n">
        <f aca="false">M139</f>
        <v>9320.3028160515</v>
      </c>
      <c r="N145" s="714" t="n">
        <f aca="false">N139</f>
        <v>10928.505844212</v>
      </c>
      <c r="O145" s="714" t="n">
        <f aca="false">O139</f>
        <v>12552.7909026541</v>
      </c>
      <c r="P145" s="714" t="n">
        <f aca="false">P139</f>
        <v>14193.3188116807</v>
      </c>
      <c r="Q145" s="714" t="n">
        <f aca="false">Q139</f>
        <v>15850.2519997975</v>
      </c>
      <c r="R145" s="446"/>
    </row>
    <row r="146" customFormat="false" ht="12.75" hidden="false" customHeight="false" outlineLevel="0" collapsed="false">
      <c r="A146" s="529" t="s">
        <v>365</v>
      </c>
      <c r="D146" s="712"/>
      <c r="E146" s="712"/>
      <c r="F146" s="513"/>
      <c r="G146" s="508"/>
      <c r="H146" s="426" t="n">
        <f aca="false">SUM(H143:H145)</f>
        <v>71445</v>
      </c>
      <c r="I146" s="426" t="n">
        <f aca="false">SUM(I143:I145)</f>
        <v>132448.499756622</v>
      </c>
      <c r="J146" s="426" t="n">
        <f aca="false">SUM(J143:J145)</f>
        <v>133993.951256622</v>
      </c>
      <c r="K146" s="426" t="n">
        <f aca="false">SUM(K143:K145)</f>
        <v>135554.857271622</v>
      </c>
      <c r="L146" s="426" t="n">
        <f aca="false">SUM(L143:L145)</f>
        <v>137131.372346772</v>
      </c>
      <c r="M146" s="426" t="n">
        <f aca="false">SUM(M143:M145)</f>
        <v>138723.652572673</v>
      </c>
      <c r="N146" s="426" t="n">
        <f aca="false">SUM(N143:N145)</f>
        <v>140331.855600834</v>
      </c>
      <c r="O146" s="426" t="n">
        <f aca="false">SUM(O143:O145)</f>
        <v>141956.140659276</v>
      </c>
      <c r="P146" s="426" t="n">
        <f aca="false">SUM(P143:P145)</f>
        <v>143596.668568303</v>
      </c>
      <c r="Q146" s="426" t="n">
        <f aca="false">SUM(Q143:Q145)</f>
        <v>145253.601756419</v>
      </c>
      <c r="R146" s="95"/>
    </row>
    <row r="149" customFormat="false" ht="15.75" hidden="false" customHeight="false" outlineLevel="0" collapsed="false">
      <c r="A149" s="497" t="s">
        <v>366</v>
      </c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</row>
    <row r="150" customFormat="false" ht="12.75" hidden="false" customHeight="false" outlineLevel="0" collapsed="false">
      <c r="D150" s="505"/>
      <c r="E150" s="505"/>
      <c r="F150" s="295"/>
      <c r="G150" s="306" t="s">
        <v>192</v>
      </c>
      <c r="H150" s="307"/>
      <c r="I150" s="295"/>
      <c r="J150" s="295"/>
      <c r="K150" s="176"/>
      <c r="L150" s="295"/>
      <c r="M150" s="176"/>
      <c r="N150" s="176"/>
      <c r="O150" s="176"/>
      <c r="P150" s="176"/>
      <c r="Q150" s="103"/>
    </row>
    <row r="151" customFormat="false" ht="12.75" hidden="false" customHeight="false" outlineLevel="0" collapsed="false">
      <c r="D151" s="308" t="n">
        <v>1998</v>
      </c>
      <c r="E151" s="308" t="n">
        <v>1999</v>
      </c>
      <c r="F151" s="308" t="n">
        <v>2000</v>
      </c>
      <c r="G151" s="308" t="n">
        <v>2001</v>
      </c>
      <c r="H151" s="309" t="n">
        <v>2002</v>
      </c>
      <c r="I151" s="309" t="n">
        <v>2003</v>
      </c>
      <c r="J151" s="309" t="n">
        <v>2004</v>
      </c>
      <c r="K151" s="309" t="n">
        <v>2005</v>
      </c>
      <c r="L151" s="309" t="n">
        <v>2006</v>
      </c>
      <c r="M151" s="310" t="n">
        <v>2007</v>
      </c>
      <c r="N151" s="310" t="n">
        <v>2008</v>
      </c>
      <c r="O151" s="310" t="n">
        <v>2009</v>
      </c>
      <c r="P151" s="310" t="n">
        <v>2010</v>
      </c>
      <c r="Q151" s="441" t="n">
        <v>2011</v>
      </c>
    </row>
    <row r="152" customFormat="false" ht="12.75" hidden="false" customHeight="false" outlineLevel="0" collapsed="false">
      <c r="F152" s="704" t="s">
        <v>193</v>
      </c>
      <c r="G152" s="385" t="n">
        <v>1</v>
      </c>
      <c r="H152" s="386" t="n">
        <v>2</v>
      </c>
      <c r="I152" s="386" t="n">
        <v>3</v>
      </c>
      <c r="J152" s="386" t="n">
        <v>4</v>
      </c>
      <c r="K152" s="386" t="n">
        <v>5</v>
      </c>
      <c r="L152" s="386" t="n">
        <v>6</v>
      </c>
      <c r="M152" s="386" t="n">
        <v>7</v>
      </c>
      <c r="N152" s="386" t="n">
        <v>8</v>
      </c>
      <c r="O152" s="386" t="n">
        <v>9</v>
      </c>
      <c r="P152" s="386" t="n">
        <v>10</v>
      </c>
      <c r="Q152" s="387" t="n">
        <v>11</v>
      </c>
    </row>
    <row r="153" customFormat="false" ht="12.75" hidden="false" customHeight="false" outlineLevel="0" collapsed="false">
      <c r="A153" s="0" t="s">
        <v>367</v>
      </c>
      <c r="D153" s="508"/>
      <c r="E153" s="508"/>
      <c r="F153" s="508"/>
      <c r="G153" s="508"/>
      <c r="H153" s="443" t="n">
        <f aca="false">Assumptions!$D$21*('Pipeline Co IS'!H33-'Pipeline Co IS'!H146)</f>
        <v>103228.125</v>
      </c>
      <c r="I153" s="443" t="n">
        <f aca="false">Assumptions!$D$21*('Pipeline Co IS'!I33-'Pipeline Co IS'!I146)</f>
        <v>80333.6573437006</v>
      </c>
      <c r="J153" s="443" t="n">
        <f aca="false">Assumptions!$D$21*('Pipeline Co IS'!J33-'Pipeline Co IS'!J146)</f>
        <v>80317.3600049507</v>
      </c>
      <c r="K153" s="443" t="n">
        <f aca="false">Assumptions!$D$21*('Pipeline Co IS'!K33-'Pipeline Co IS'!K146)</f>
        <v>80281.3081366944</v>
      </c>
      <c r="L153" s="443" t="n">
        <f aca="false">Assumptions!$D$21*('Pipeline Co IS'!L33-'Pipeline Co IS'!L146)</f>
        <v>80224.7972065528</v>
      </c>
      <c r="M153" s="443" t="n">
        <f aca="false">Assumptions!$D$21*('Pipeline Co IS'!M33-'Pipeline Co IS'!M146)</f>
        <v>80147.1028387436</v>
      </c>
      <c r="N153" s="443" t="n">
        <f aca="false">Assumptions!$D$21*('Pipeline Co IS'!N33-'Pipeline Co IS'!N146)</f>
        <v>80047.4802998436</v>
      </c>
      <c r="O153" s="443" t="n">
        <f aca="false">Assumptions!$D$21*('Pipeline Co IS'!O33-'Pipeline Co IS'!O146)</f>
        <v>79925.163971796</v>
      </c>
      <c r="P153" s="443" t="n">
        <f aca="false">Assumptions!$D$21*('Pipeline Co IS'!P33-'Pipeline Co IS'!P146)</f>
        <v>79779.3668118542</v>
      </c>
      <c r="Q153" s="443" t="n">
        <f aca="false">Assumptions!$D$21*('Pipeline Co IS'!Q33-'Pipeline Co IS'!Q146)</f>
        <v>79609.2797991516</v>
      </c>
    </row>
    <row r="154" customFormat="false" ht="12.75" hidden="false" customHeight="false" outlineLevel="0" collapsed="false">
      <c r="A154" s="0" t="s">
        <v>279</v>
      </c>
      <c r="D154" s="721"/>
      <c r="E154" s="721"/>
      <c r="F154" s="721"/>
      <c r="G154" s="721"/>
      <c r="H154" s="714" t="n">
        <f aca="false">H155-H153</f>
        <v>-29412.075</v>
      </c>
      <c r="I154" s="714" t="n">
        <f aca="false">I155-I153</f>
        <v>-3072.93534370061</v>
      </c>
      <c r="J154" s="714" t="n">
        <f aca="false">J155-J153</f>
        <v>368.964656299417</v>
      </c>
      <c r="K154" s="714" t="n">
        <f aca="false">K155-K153</f>
        <v>3810.86465629941</v>
      </c>
      <c r="L154" s="714" t="n">
        <f aca="false">L155-L153</f>
        <v>7252.76465629941</v>
      </c>
      <c r="M154" s="714" t="n">
        <f aca="false">M155-M153</f>
        <v>10694.6646562994</v>
      </c>
      <c r="N154" s="714" t="n">
        <f aca="false">N155-N153</f>
        <v>14136.5646562994</v>
      </c>
      <c r="O154" s="714" t="n">
        <f aca="false">O155-O153</f>
        <v>17578.4646562994</v>
      </c>
      <c r="P154" s="714" t="n">
        <f aca="false">P155-P153</f>
        <v>21020.3646562994</v>
      </c>
      <c r="Q154" s="714" t="n">
        <f aca="false">Q155-Q153</f>
        <v>24462.2646562994</v>
      </c>
    </row>
    <row r="155" customFormat="false" ht="12.75" hidden="false" customHeight="false" outlineLevel="0" collapsed="false">
      <c r="A155" s="371" t="s">
        <v>368</v>
      </c>
      <c r="D155" s="722"/>
      <c r="E155" s="722"/>
      <c r="F155" s="722"/>
      <c r="G155" s="722"/>
      <c r="H155" s="426" t="n">
        <f aca="false">Assumptions!$D$21*('Pipeline Co IS'!H37-H44)</f>
        <v>73816.05</v>
      </c>
      <c r="I155" s="426" t="n">
        <f aca="false">Assumptions!$D$21*('Pipeline Co IS'!I37-I44)</f>
        <v>77260.722</v>
      </c>
      <c r="J155" s="426" t="n">
        <f aca="false">Assumptions!$D$21*('Pipeline Co IS'!J37-J44)</f>
        <v>80686.3246612501</v>
      </c>
      <c r="K155" s="426" t="n">
        <f aca="false">Assumptions!$D$21*('Pipeline Co IS'!K37-K44)</f>
        <v>84092.1727929938</v>
      </c>
      <c r="L155" s="426" t="n">
        <f aca="false">Assumptions!$D$21*('Pipeline Co IS'!L37-L44)</f>
        <v>87477.5618628522</v>
      </c>
      <c r="M155" s="426" t="n">
        <f aca="false">Assumptions!$D$21*('Pipeline Co IS'!M37-M44)</f>
        <v>90841.7674950431</v>
      </c>
      <c r="N155" s="426" t="n">
        <f aca="false">Assumptions!$D$21*('Pipeline Co IS'!N37-N44)</f>
        <v>94184.044956143</v>
      </c>
      <c r="O155" s="426" t="n">
        <f aca="false">Assumptions!$D$21*('Pipeline Co IS'!O37-O44)</f>
        <v>97503.6286280954</v>
      </c>
      <c r="P155" s="426" t="n">
        <f aca="false">Assumptions!$D$21*('Pipeline Co IS'!P37-P44)</f>
        <v>100799.731468154</v>
      </c>
      <c r="Q155" s="426" t="n">
        <f aca="false">Assumptions!$D$21*('Pipeline Co IS'!Q37-Q44)</f>
        <v>104071.544455451</v>
      </c>
    </row>
    <row r="158" customFormat="false" ht="12.75" hidden="false" customHeight="false" outlineLevel="0" collapsed="false">
      <c r="B158" s="723"/>
      <c r="C158" s="723"/>
      <c r="D158" s="723"/>
      <c r="E158" s="723"/>
      <c r="F158" s="723"/>
    </row>
    <row r="163" customFormat="false" ht="12.75" hidden="false" customHeight="false" outlineLevel="0" collapsed="false">
      <c r="B163" s="724"/>
      <c r="C163" s="725"/>
    </row>
  </sheetData>
  <conditionalFormatting sqref="C17">
    <cfRule type="cellIs" priority="2" operator="notBetween" aboveAverage="0" equalAverage="0" bottom="0" percent="0" rank="0" text="" dxfId="2">
      <formula>0.25</formula>
      <formula>-0.25</formula>
    </cfRule>
  </conditionalFormatting>
  <printOptions headings="false" gridLines="false" gridLinesSet="true" horizontalCentered="false" verticalCentered="false"/>
  <pageMargins left="0.170138888888889" right="0.170138888888889" top="0.620138888888889" bottom="0.3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2"/>
  <sheetViews>
    <sheetView showFormulas="false" showGridLines="false" showRowColHeaders="true" showZeros="true" rightToLeft="false" tabSelected="false" showOutlineSymbols="true" defaultGridColor="true" view="normal" topLeftCell="A67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35.42"/>
    <col collapsed="false" customWidth="true" hidden="false" outlineLevel="0" max="2" min="2" style="0" width="8.85"/>
    <col collapsed="false" customWidth="true" hidden="false" outlineLevel="0" max="3" min="3" style="0" width="1.41"/>
    <col collapsed="false" customWidth="true" hidden="false" outlineLevel="0" max="4" min="4" style="0" width="11.28"/>
    <col collapsed="false" customWidth="true" hidden="false" outlineLevel="0" max="5" min="5" style="0" width="13.85"/>
    <col collapsed="false" customWidth="true" hidden="false" outlineLevel="0" max="6" min="6" style="0" width="16.84"/>
    <col collapsed="false" customWidth="true" hidden="false" outlineLevel="0" max="7" min="7" style="0" width="14.56"/>
    <col collapsed="false" customWidth="true" hidden="false" outlineLevel="0" max="8" min="8" style="0" width="12.56"/>
    <col collapsed="false" customWidth="true" hidden="false" outlineLevel="0" max="9" min="9" style="0" width="13.56"/>
    <col collapsed="false" customWidth="true" hidden="false" outlineLevel="0" max="10" min="10" style="0" width="13.14"/>
    <col collapsed="false" customWidth="true" hidden="false" outlineLevel="0" max="13" min="11" style="0" width="13.41"/>
    <col collapsed="false" customWidth="true" hidden="false" outlineLevel="0" max="15" min="14" style="0" width="13.14"/>
    <col collapsed="false" customWidth="true" hidden="false" outlineLevel="0" max="16" min="16" style="0" width="13.85"/>
    <col collapsed="false" customWidth="true" hidden="false" outlineLevel="0" max="17" min="17" style="0" width="13.14"/>
    <col collapsed="false" customWidth="true" hidden="false" outlineLevel="0" max="18" min="18" style="0" width="13.41"/>
    <col collapsed="false" customWidth="true" hidden="false" outlineLevel="0" max="20" min="19" style="0" width="13.85"/>
  </cols>
  <sheetData>
    <row r="1" customFormat="false" ht="20.25" hidden="false" customHeight="false" outlineLevel="0" collapsed="false">
      <c r="A1" s="606" t="str">
        <f aca="false">"Project "&amp;Assumptions!D7</f>
        <v>Project Wolverine</v>
      </c>
      <c r="B1" s="17"/>
      <c r="C1" s="17"/>
      <c r="D1" s="17"/>
      <c r="F1" s="665" t="s">
        <v>62</v>
      </c>
      <c r="G1" s="607"/>
      <c r="H1" s="666"/>
      <c r="I1" s="666"/>
      <c r="J1" s="608"/>
    </row>
    <row r="2" customFormat="false" ht="15.75" hidden="false" customHeight="false" outlineLevel="0" collapsed="false">
      <c r="A2" s="609" t="str">
        <f aca="false">'Org Chart'!B5</f>
        <v>Panhandle Eastern</v>
      </c>
      <c r="B2" s="610"/>
      <c r="C2" s="17"/>
      <c r="D2" s="17"/>
      <c r="F2" s="612"/>
      <c r="G2" s="138"/>
      <c r="H2" s="138"/>
      <c r="I2" s="138"/>
      <c r="J2" s="19"/>
    </row>
    <row r="3" customFormat="false" ht="16.5" hidden="false" customHeight="false" outlineLevel="0" collapsed="false">
      <c r="A3" s="614" t="s">
        <v>369</v>
      </c>
      <c r="B3" s="610"/>
      <c r="C3" s="17"/>
      <c r="D3" s="17"/>
      <c r="F3" s="612"/>
      <c r="G3" s="17"/>
      <c r="H3" s="138"/>
      <c r="I3" s="138"/>
      <c r="J3" s="19"/>
    </row>
    <row r="4" customFormat="false" ht="13.5" hidden="false" customHeight="false" outlineLevel="0" collapsed="false">
      <c r="F4" s="616"/>
      <c r="G4" s="617"/>
      <c r="H4" s="617"/>
      <c r="I4" s="617"/>
      <c r="J4" s="30"/>
    </row>
    <row r="6" customFormat="false" ht="15.75" hidden="false" customHeight="false" outlineLevel="0" collapsed="false">
      <c r="A6" s="497" t="s">
        <v>370</v>
      </c>
      <c r="B6" s="498"/>
      <c r="C6" s="131"/>
      <c r="D6" s="499"/>
      <c r="E6" s="499"/>
      <c r="F6" s="131"/>
      <c r="G6" s="500"/>
      <c r="H6" s="500"/>
      <c r="I6" s="500"/>
      <c r="J6" s="131"/>
      <c r="K6" s="131"/>
      <c r="L6" s="131"/>
      <c r="M6" s="131"/>
      <c r="N6" s="131"/>
      <c r="O6" s="131"/>
      <c r="P6" s="131"/>
      <c r="Q6" s="131"/>
      <c r="R6" s="131"/>
      <c r="S6" s="223"/>
      <c r="T6" s="223"/>
    </row>
    <row r="7" customFormat="false" ht="12.75" hidden="false" customHeight="false" outlineLevel="0" collapsed="false">
      <c r="D7" s="505"/>
      <c r="E7" s="505"/>
      <c r="F7" s="295"/>
      <c r="G7" s="306" t="s">
        <v>192</v>
      </c>
      <c r="H7" s="307"/>
      <c r="I7" s="295"/>
      <c r="J7" s="295"/>
      <c r="K7" s="176"/>
      <c r="L7" s="295"/>
      <c r="M7" s="176"/>
      <c r="N7" s="176"/>
      <c r="O7" s="176"/>
      <c r="P7" s="176"/>
      <c r="Q7" s="103"/>
      <c r="R7" s="103"/>
      <c r="S7" s="103"/>
      <c r="T7" s="103"/>
    </row>
    <row r="8" customFormat="false" ht="12.75" hidden="false" customHeight="false" outlineLevel="0" collapsed="false">
      <c r="D8" s="308" t="n">
        <v>1998</v>
      </c>
      <c r="E8" s="308" t="n">
        <v>1999</v>
      </c>
      <c r="F8" s="308" t="n">
        <v>2000</v>
      </c>
      <c r="G8" s="308" t="n">
        <v>2001</v>
      </c>
      <c r="H8" s="726" t="s">
        <v>371</v>
      </c>
      <c r="I8" s="726"/>
      <c r="J8" s="309" t="s">
        <v>372</v>
      </c>
      <c r="K8" s="309" t="n">
        <v>2002</v>
      </c>
      <c r="L8" s="309" t="n">
        <v>2003</v>
      </c>
      <c r="M8" s="309" t="n">
        <v>2004</v>
      </c>
      <c r="N8" s="309" t="n">
        <v>2005</v>
      </c>
      <c r="O8" s="309" t="n">
        <v>2006</v>
      </c>
      <c r="P8" s="310" t="n">
        <v>2007</v>
      </c>
      <c r="Q8" s="310" t="n">
        <v>2008</v>
      </c>
      <c r="R8" s="310" t="n">
        <v>2009</v>
      </c>
      <c r="S8" s="310" t="n">
        <v>2010</v>
      </c>
      <c r="T8" s="441" t="n">
        <v>2011</v>
      </c>
    </row>
    <row r="9" customFormat="false" ht="12.75" hidden="false" customHeight="false" outlineLevel="0" collapsed="false">
      <c r="D9" s="449"/>
      <c r="E9" s="449"/>
      <c r="F9" s="312" t="s">
        <v>193</v>
      </c>
      <c r="G9" s="308" t="n">
        <v>1</v>
      </c>
      <c r="H9" s="727" t="s">
        <v>373</v>
      </c>
      <c r="I9" s="728" t="s">
        <v>374</v>
      </c>
      <c r="J9" s="309" t="n">
        <v>1</v>
      </c>
      <c r="K9" s="309" t="n">
        <v>2</v>
      </c>
      <c r="L9" s="309" t="n">
        <v>3</v>
      </c>
      <c r="M9" s="309" t="n">
        <v>4</v>
      </c>
      <c r="N9" s="309" t="n">
        <v>5</v>
      </c>
      <c r="O9" s="309" t="n">
        <v>6</v>
      </c>
      <c r="P9" s="309" t="n">
        <v>7</v>
      </c>
      <c r="Q9" s="309" t="n">
        <v>8</v>
      </c>
      <c r="R9" s="309" t="n">
        <v>9</v>
      </c>
      <c r="S9" s="309" t="n">
        <v>10</v>
      </c>
      <c r="T9" s="387" t="n">
        <v>11</v>
      </c>
    </row>
    <row r="10" customFormat="false" ht="12.75" hidden="false" customHeight="false" outlineLevel="0" collapsed="false">
      <c r="A10" s="371" t="s">
        <v>375</v>
      </c>
      <c r="D10" s="508"/>
      <c r="E10" s="508"/>
      <c r="F10" s="667"/>
      <c r="G10" s="668"/>
      <c r="H10" s="18"/>
      <c r="I10" s="729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404"/>
    </row>
    <row r="11" customFormat="false" ht="12.75" hidden="false" customHeight="false" outlineLevel="0" collapsed="false">
      <c r="A11" s="730" t="s">
        <v>376</v>
      </c>
      <c r="D11" s="669"/>
      <c r="E11" s="669" t="n">
        <v>0</v>
      </c>
      <c r="F11" s="669" t="n">
        <v>0</v>
      </c>
      <c r="G11" s="669" t="n">
        <v>0</v>
      </c>
      <c r="H11" s="731" t="n">
        <v>310000</v>
      </c>
      <c r="I11" s="731" t="n">
        <f aca="false">SUM(I40:I42)</f>
        <v>-60000</v>
      </c>
      <c r="J11" s="459" t="n">
        <f aca="false">'Pipeline Co CF'!I62</f>
        <v>250000</v>
      </c>
      <c r="K11" s="459" t="n">
        <f aca="false">'Pipeline Co CF'!J62</f>
        <v>127436.313356164</v>
      </c>
      <c r="L11" s="459" t="n">
        <f aca="false">'Pipeline Co CF'!K62</f>
        <v>67689.0962864364</v>
      </c>
      <c r="M11" s="459" t="n">
        <f aca="false">'Pipeline Co CF'!L62</f>
        <v>17845.7754992941</v>
      </c>
      <c r="N11" s="459" t="n">
        <f aca="false">'Pipeline Co CF'!M62</f>
        <v>-22115.4638852563</v>
      </c>
      <c r="O11" s="459" t="n">
        <f aca="false">'Pipeline Co CF'!N62</f>
        <v>-52217.4686058077</v>
      </c>
      <c r="P11" s="459" t="n">
        <f aca="false">'Pipeline Co CF'!O62</f>
        <v>-72484.1481213181</v>
      </c>
      <c r="Q11" s="459" t="n">
        <f aca="false">'Pipeline Co CF'!P62</f>
        <v>-82940.5062886785</v>
      </c>
      <c r="R11" s="459" t="n">
        <f aca="false">'Pipeline Co CF'!Q62</f>
        <v>-83612.6738764778</v>
      </c>
      <c r="S11" s="459" t="n">
        <f aca="false">'Pipeline Co CF'!R62</f>
        <v>-74527.9419358559</v>
      </c>
      <c r="T11" s="459" t="n">
        <f aca="false">'Pipeline Co CF'!S62</f>
        <v>-55714.7960498365</v>
      </c>
    </row>
    <row r="12" customFormat="false" ht="12.75" hidden="false" customHeight="false" outlineLevel="0" collapsed="false">
      <c r="A12" s="732" t="s">
        <v>377</v>
      </c>
      <c r="D12" s="669"/>
      <c r="E12" s="669" t="n">
        <v>112000</v>
      </c>
      <c r="F12" s="669" t="n">
        <v>140000</v>
      </c>
      <c r="G12" s="669" t="n">
        <v>171000</v>
      </c>
      <c r="H12" s="731" t="n">
        <v>0</v>
      </c>
      <c r="I12" s="731" t="n">
        <v>0</v>
      </c>
      <c r="J12" s="459" t="n">
        <f aca="false">G12+H12+I12</f>
        <v>171000</v>
      </c>
      <c r="K12" s="459" t="n">
        <f aca="false">('Pipeline Co IS'!H17/365)*'Pipeline Co BS'!K84</f>
        <v>179750.136986301</v>
      </c>
      <c r="L12" s="459" t="n">
        <f aca="false">('Pipeline Co IS'!I17/365)*'Pipeline Co BS'!L84</f>
        <v>181998.180821918</v>
      </c>
      <c r="M12" s="459" t="n">
        <f aca="false">('Pipeline Co IS'!J17/365)*'Pipeline Co BS'!M84</f>
        <v>184278.935013699</v>
      </c>
      <c r="N12" s="459" t="n">
        <f aca="false">('Pipeline Co IS'!K17/365)*'Pipeline Co BS'!N84</f>
        <v>186592.967835616</v>
      </c>
      <c r="O12" s="459" t="n">
        <f aca="false">('Pipeline Co IS'!L17/365)*'Pipeline Co BS'!O84</f>
        <v>188940.859164953</v>
      </c>
      <c r="P12" s="459" t="n">
        <f aca="false">('Pipeline Co IS'!M17/365)*'Pipeline Co BS'!P84</f>
        <v>191323.200749661</v>
      </c>
      <c r="Q12" s="459" t="n">
        <f aca="false">('Pipeline Co IS'!N17/365)*'Pipeline Co BS'!Q84</f>
        <v>193740.596482405</v>
      </c>
      <c r="R12" s="459" t="n">
        <f aca="false">('Pipeline Co IS'!O17/365)*'Pipeline Co BS'!R84</f>
        <v>196193.662681481</v>
      </c>
      <c r="S12" s="459" t="n">
        <f aca="false">('Pipeline Co IS'!P17/365)*'Pipeline Co BS'!S84</f>
        <v>198683.028378767</v>
      </c>
      <c r="T12" s="459" t="n">
        <f aca="false">('Pipeline Co IS'!Q17/365)*'Pipeline Co BS'!T84</f>
        <v>201209.335614914</v>
      </c>
    </row>
    <row r="13" customFormat="false" ht="12.75" hidden="false" customHeight="false" outlineLevel="0" collapsed="false">
      <c r="A13" s="0" t="s">
        <v>378</v>
      </c>
      <c r="D13" s="669"/>
      <c r="E13" s="669" t="n">
        <v>22000</v>
      </c>
      <c r="F13" s="669" t="n">
        <v>71000</v>
      </c>
      <c r="G13" s="669" t="n">
        <v>58000</v>
      </c>
      <c r="H13" s="731" t="n">
        <v>0</v>
      </c>
      <c r="I13" s="731" t="n">
        <v>0</v>
      </c>
      <c r="J13" s="459" t="n">
        <f aca="false">G13+H13+I13</f>
        <v>58000</v>
      </c>
      <c r="K13" s="459" t="n">
        <f aca="false">('Pipeline Co IS'!H11*'Pipeline Co BS'!K85)*(K86/365)</f>
        <v>56316.4931506849</v>
      </c>
      <c r="L13" s="459" t="n">
        <f aca="false">('Pipeline Co IS'!I11*'Pipeline Co BS'!L85)*(L86/365)</f>
        <v>56879.6580821918</v>
      </c>
      <c r="M13" s="459" t="n">
        <f aca="false">('Pipeline Co IS'!J11*'Pipeline Co BS'!M85)*(M86/365)</f>
        <v>57448.4546630137</v>
      </c>
      <c r="N13" s="459" t="n">
        <f aca="false">('Pipeline Co IS'!K11*'Pipeline Co BS'!N85)*(N86/365)</f>
        <v>58022.9392096438</v>
      </c>
      <c r="O13" s="459" t="n">
        <f aca="false">('Pipeline Co IS'!L11*'Pipeline Co BS'!O85)*(O86/365)</f>
        <v>58603.1686017403</v>
      </c>
      <c r="P13" s="459" t="n">
        <f aca="false">('Pipeline Co IS'!M11*'Pipeline Co BS'!P85)*(P86/365)</f>
        <v>59189.2002877577</v>
      </c>
      <c r="Q13" s="459" t="n">
        <f aca="false">('Pipeline Co IS'!N11*'Pipeline Co BS'!Q85)*(Q86/365)</f>
        <v>59781.0922906353</v>
      </c>
      <c r="R13" s="459" t="n">
        <f aca="false">('Pipeline Co IS'!O11*'Pipeline Co BS'!R85)*(R86/365)</f>
        <v>60378.9032135416</v>
      </c>
      <c r="S13" s="459" t="n">
        <f aca="false">('Pipeline Co IS'!P11*'Pipeline Co BS'!S85)*(S86/365)</f>
        <v>60982.692245677</v>
      </c>
      <c r="T13" s="459" t="n">
        <f aca="false">('Pipeline Co IS'!Q11*'Pipeline Co BS'!T85)*(T86/365)</f>
        <v>61592.5191681338</v>
      </c>
      <c r="U13" s="459"/>
      <c r="V13" s="459"/>
    </row>
    <row r="14" customFormat="false" ht="12.75" hidden="false" customHeight="false" outlineLevel="0" collapsed="false">
      <c r="A14" s="733" t="s">
        <v>379</v>
      </c>
      <c r="D14" s="669"/>
      <c r="E14" s="669" t="n">
        <v>34000</v>
      </c>
      <c r="F14" s="669" t="n">
        <v>21000</v>
      </c>
      <c r="G14" s="669" t="n">
        <v>20000</v>
      </c>
      <c r="H14" s="731" t="n">
        <v>0</v>
      </c>
      <c r="I14" s="731" t="n">
        <v>0</v>
      </c>
      <c r="J14" s="459" t="n">
        <f aca="false">G14+H14+I14</f>
        <v>20000</v>
      </c>
      <c r="K14" s="459" t="n">
        <f aca="false">'Pipeline Co IS'!H25*('Pipeline Co BS'!K87/365)</f>
        <v>26537.6712328767</v>
      </c>
      <c r="L14" s="459" t="n">
        <f aca="false">'Pipeline Co IS'!I25*('Pipeline Co BS'!L87/365)</f>
        <v>27201.1130136986</v>
      </c>
      <c r="M14" s="459" t="n">
        <f aca="false">'Pipeline Co IS'!J25*('Pipeline Co BS'!M87/365)</f>
        <v>27881.1408390411</v>
      </c>
      <c r="N14" s="459" t="n">
        <f aca="false">'Pipeline Co IS'!K25*('Pipeline Co BS'!N87/365)</f>
        <v>28578.1693600171</v>
      </c>
      <c r="O14" s="459" t="n">
        <f aca="false">'Pipeline Co IS'!L25*('Pipeline Co BS'!O87/365)</f>
        <v>29292.6235940175</v>
      </c>
      <c r="P14" s="459" t="n">
        <f aca="false">'Pipeline Co IS'!M25*('Pipeline Co BS'!P87/365)</f>
        <v>30024.939183868</v>
      </c>
      <c r="Q14" s="459" t="n">
        <f aca="false">'Pipeline Co IS'!N25*('Pipeline Co BS'!Q87/365)</f>
        <v>30775.5626634647</v>
      </c>
      <c r="R14" s="459" t="n">
        <f aca="false">'Pipeline Co IS'!O25*('Pipeline Co BS'!R87/365)</f>
        <v>31544.9517300513</v>
      </c>
      <c r="S14" s="459" t="n">
        <f aca="false">'Pipeline Co IS'!P25*('Pipeline Co BS'!S87/365)</f>
        <v>32333.5755233026</v>
      </c>
      <c r="T14" s="459" t="n">
        <f aca="false">'Pipeline Co IS'!Q25*('Pipeline Co BS'!T87/365)</f>
        <v>33141.9149113851</v>
      </c>
    </row>
    <row r="15" customFormat="false" ht="12.75" hidden="false" customHeight="false" outlineLevel="0" collapsed="false">
      <c r="A15" s="0" t="s">
        <v>380</v>
      </c>
      <c r="D15" s="669"/>
      <c r="E15" s="669" t="n">
        <v>11000</v>
      </c>
      <c r="F15" s="669" t="n">
        <v>12000</v>
      </c>
      <c r="G15" s="669" t="n">
        <v>8000</v>
      </c>
      <c r="H15" s="731" t="n">
        <v>0</v>
      </c>
      <c r="I15" s="731" t="n">
        <v>0</v>
      </c>
      <c r="J15" s="459" t="n">
        <f aca="false">G15+H15+I15</f>
        <v>8000</v>
      </c>
      <c r="K15" s="459" t="n">
        <f aca="false">J15</f>
        <v>8000</v>
      </c>
      <c r="L15" s="459" t="n">
        <f aca="false">K15</f>
        <v>8000</v>
      </c>
      <c r="M15" s="459" t="n">
        <f aca="false">L15</f>
        <v>8000</v>
      </c>
      <c r="N15" s="459" t="n">
        <f aca="false">M15</f>
        <v>8000</v>
      </c>
      <c r="O15" s="459" t="n">
        <f aca="false">N15</f>
        <v>8000</v>
      </c>
      <c r="P15" s="459" t="n">
        <f aca="false">O15</f>
        <v>8000</v>
      </c>
      <c r="Q15" s="459" t="n">
        <f aca="false">P15</f>
        <v>8000</v>
      </c>
      <c r="R15" s="459" t="n">
        <f aca="false">Q15</f>
        <v>8000</v>
      </c>
      <c r="S15" s="459" t="n">
        <f aca="false">R15</f>
        <v>8000</v>
      </c>
      <c r="T15" s="459" t="n">
        <f aca="false">S15</f>
        <v>8000</v>
      </c>
    </row>
    <row r="16" customFormat="false" ht="12.75" hidden="false" customHeight="false" outlineLevel="0" collapsed="false">
      <c r="A16" s="733" t="s">
        <v>381</v>
      </c>
      <c r="D16" s="669"/>
      <c r="E16" s="669" t="n">
        <v>85000</v>
      </c>
      <c r="F16" s="669" t="n">
        <v>162000</v>
      </c>
      <c r="G16" s="669" t="n">
        <v>310000</v>
      </c>
      <c r="H16" s="731" t="n">
        <v>0</v>
      </c>
      <c r="I16" s="731" t="n">
        <v>-310000</v>
      </c>
      <c r="J16" s="459" t="n">
        <f aca="false">G16+H16+I16</f>
        <v>0</v>
      </c>
      <c r="K16" s="459" t="n">
        <f aca="false">J16</f>
        <v>0</v>
      </c>
      <c r="L16" s="459" t="n">
        <f aca="false">K16</f>
        <v>0</v>
      </c>
      <c r="M16" s="459" t="n">
        <f aca="false">L16</f>
        <v>0</v>
      </c>
      <c r="N16" s="459" t="n">
        <f aca="false">M16</f>
        <v>0</v>
      </c>
      <c r="O16" s="459" t="n">
        <f aca="false">N16</f>
        <v>0</v>
      </c>
      <c r="P16" s="459" t="n">
        <f aca="false">O16</f>
        <v>0</v>
      </c>
      <c r="Q16" s="459" t="n">
        <f aca="false">P16</f>
        <v>0</v>
      </c>
      <c r="R16" s="459" t="n">
        <f aca="false">Q16</f>
        <v>0</v>
      </c>
      <c r="S16" s="459" t="n">
        <f aca="false">R16</f>
        <v>0</v>
      </c>
      <c r="T16" s="459" t="n">
        <f aca="false">S16</f>
        <v>0</v>
      </c>
    </row>
    <row r="17" customFormat="false" ht="12.75" hidden="false" customHeight="false" outlineLevel="0" collapsed="false">
      <c r="A17" s="733" t="s">
        <v>382</v>
      </c>
      <c r="D17" s="669"/>
      <c r="E17" s="669" t="n">
        <v>8000</v>
      </c>
      <c r="F17" s="669" t="n">
        <v>21000</v>
      </c>
      <c r="G17" s="669" t="n">
        <v>20000</v>
      </c>
      <c r="H17" s="731" t="n">
        <v>0</v>
      </c>
      <c r="I17" s="731" t="n">
        <v>0</v>
      </c>
      <c r="J17" s="459" t="n">
        <f aca="false">G17+H17+I17</f>
        <v>20000</v>
      </c>
      <c r="K17" s="459" t="n">
        <f aca="false">J17</f>
        <v>20000</v>
      </c>
      <c r="L17" s="459" t="n">
        <f aca="false">K17</f>
        <v>20000</v>
      </c>
      <c r="M17" s="459" t="n">
        <f aca="false">L17</f>
        <v>20000</v>
      </c>
      <c r="N17" s="459" t="n">
        <f aca="false">M17</f>
        <v>20000</v>
      </c>
      <c r="O17" s="459" t="n">
        <f aca="false">N17</f>
        <v>20000</v>
      </c>
      <c r="P17" s="459" t="n">
        <f aca="false">O17</f>
        <v>20000</v>
      </c>
      <c r="Q17" s="459" t="n">
        <f aca="false">P17</f>
        <v>20000</v>
      </c>
      <c r="R17" s="459" t="n">
        <f aca="false">Q17</f>
        <v>20000</v>
      </c>
      <c r="S17" s="459" t="n">
        <f aca="false">R17</f>
        <v>20000</v>
      </c>
      <c r="T17" s="459" t="n">
        <f aca="false">S17</f>
        <v>20000</v>
      </c>
    </row>
    <row r="18" customFormat="false" ht="12.75" hidden="false" customHeight="false" outlineLevel="1" collapsed="false">
      <c r="A18" s="733" t="s">
        <v>383</v>
      </c>
      <c r="D18" s="669"/>
      <c r="E18" s="669" t="n">
        <v>0</v>
      </c>
      <c r="F18" s="669" t="n">
        <v>0</v>
      </c>
      <c r="G18" s="669" t="n">
        <v>0</v>
      </c>
      <c r="H18" s="731" t="n">
        <v>0</v>
      </c>
      <c r="I18" s="731" t="n">
        <v>0</v>
      </c>
      <c r="J18" s="459" t="n">
        <f aca="false">G18+H18+I18</f>
        <v>0</v>
      </c>
    </row>
    <row r="19" customFormat="false" ht="12.75" hidden="false" customHeight="false" outlineLevel="1" collapsed="false">
      <c r="A19" s="733" t="s">
        <v>384</v>
      </c>
      <c r="D19" s="669"/>
      <c r="E19" s="669" t="n">
        <v>0</v>
      </c>
      <c r="F19" s="669" t="n">
        <v>0</v>
      </c>
      <c r="G19" s="669" t="n">
        <v>0</v>
      </c>
      <c r="H19" s="731" t="n">
        <v>0</v>
      </c>
      <c r="I19" s="731" t="n">
        <v>0</v>
      </c>
      <c r="J19" s="459" t="n">
        <f aca="false">G19+H19+I19</f>
        <v>0</v>
      </c>
    </row>
    <row r="20" customFormat="false" ht="12.75" hidden="false" customHeight="false" outlineLevel="1" collapsed="false">
      <c r="A20" s="733" t="s">
        <v>385</v>
      </c>
      <c r="D20" s="669"/>
      <c r="E20" s="669" t="n">
        <v>0</v>
      </c>
      <c r="F20" s="669" t="n">
        <v>0</v>
      </c>
      <c r="G20" s="669" t="n">
        <v>0</v>
      </c>
      <c r="H20" s="731" t="n">
        <v>0</v>
      </c>
      <c r="I20" s="731" t="n">
        <v>0</v>
      </c>
      <c r="J20" s="459" t="n">
        <f aca="false">G20+H20+I20</f>
        <v>0</v>
      </c>
    </row>
    <row r="21" customFormat="false" ht="12.75" hidden="false" customHeight="false" outlineLevel="0" collapsed="false">
      <c r="A21" s="371" t="s">
        <v>386</v>
      </c>
      <c r="D21" s="734"/>
      <c r="E21" s="672" t="n">
        <f aca="false">SUM(E11:E20)</f>
        <v>272000</v>
      </c>
      <c r="F21" s="672" t="n">
        <f aca="false">SUM(F11:F20)</f>
        <v>427000</v>
      </c>
      <c r="G21" s="672" t="n">
        <f aca="false">SUM(G11:G20)</f>
        <v>587000</v>
      </c>
      <c r="H21" s="735"/>
      <c r="I21" s="736"/>
      <c r="J21" s="677" t="n">
        <f aca="false">SUM(J11:J20)</f>
        <v>527000</v>
      </c>
      <c r="K21" s="677" t="n">
        <f aca="false">SUM(K11:K20)</f>
        <v>418040.614726027</v>
      </c>
      <c r="L21" s="677" t="n">
        <f aca="false">SUM(L11:L20)</f>
        <v>361768.048204245</v>
      </c>
      <c r="M21" s="677" t="n">
        <f aca="false">SUM(M11:M20)</f>
        <v>315454.306015048</v>
      </c>
      <c r="N21" s="677" t="n">
        <f aca="false">SUM(N11:N20)</f>
        <v>279078.612520021</v>
      </c>
      <c r="O21" s="677" t="n">
        <f aca="false">SUM(O11:O20)</f>
        <v>252619.182754904</v>
      </c>
      <c r="P21" s="677" t="n">
        <f aca="false">SUM(P11:P20)</f>
        <v>236053.192099968</v>
      </c>
      <c r="Q21" s="677" t="n">
        <f aca="false">SUM(Q11:Q20)</f>
        <v>229356.745147827</v>
      </c>
      <c r="R21" s="677" t="n">
        <f aca="false">SUM(R11:R20)</f>
        <v>232504.843748596</v>
      </c>
      <c r="S21" s="677" t="n">
        <f aca="false">SUM(S11:S20)</f>
        <v>245471.35421189</v>
      </c>
      <c r="T21" s="677" t="n">
        <f aca="false">SUM(T11:T20)</f>
        <v>268228.973644597</v>
      </c>
    </row>
    <row r="22" customFormat="false" ht="12.75" hidden="false" customHeight="false" outlineLevel="0" collapsed="false">
      <c r="A22" s="371" t="s">
        <v>387</v>
      </c>
      <c r="D22" s="508"/>
      <c r="E22" s="508"/>
      <c r="F22" s="508"/>
      <c r="G22" s="508"/>
      <c r="H22" s="18"/>
      <c r="I22" s="737"/>
    </row>
    <row r="23" customFormat="false" ht="12.75" hidden="false" customHeight="false" outlineLevel="0" collapsed="false">
      <c r="A23" s="733" t="s">
        <v>388</v>
      </c>
      <c r="D23" s="669"/>
      <c r="E23" s="669" t="n">
        <v>1492000</v>
      </c>
      <c r="F23" s="669" t="n">
        <v>1679000</v>
      </c>
      <c r="G23" s="669" t="n">
        <v>1642000</v>
      </c>
      <c r="H23" s="731" t="n">
        <v>0</v>
      </c>
      <c r="I23" s="731" t="n">
        <v>0</v>
      </c>
      <c r="J23" s="459" t="n">
        <f aca="false">SUM(G23+H23+I23)</f>
        <v>1642000</v>
      </c>
      <c r="K23" s="459" t="n">
        <f aca="false">J23-'Pipeline Co CF'!J34</f>
        <v>1702600</v>
      </c>
      <c r="L23" s="459" t="n">
        <f aca="false">K23-'Pipeline Co CF'!K34</f>
        <v>1763806</v>
      </c>
      <c r="M23" s="459" t="n">
        <f aca="false">L23-'Pipeline Co CF'!L34</f>
        <v>1825624.06</v>
      </c>
      <c r="N23" s="459" t="n">
        <f aca="false">M23-'Pipeline Co CF'!M34</f>
        <v>1888060.3006</v>
      </c>
      <c r="O23" s="459" t="n">
        <f aca="false">N23-'Pipeline Co CF'!N34</f>
        <v>1951120.903606</v>
      </c>
      <c r="P23" s="459" t="n">
        <f aca="false">O23-'Pipeline Co CF'!O34</f>
        <v>2014812.11264206</v>
      </c>
      <c r="Q23" s="459" t="n">
        <f aca="false">P23-'Pipeline Co CF'!P34</f>
        <v>2079140.23376848</v>
      </c>
      <c r="R23" s="459" t="n">
        <f aca="false">Q23-'Pipeline Co CF'!Q34</f>
        <v>2144111.63610617</v>
      </c>
      <c r="S23" s="459" t="n">
        <f aca="false">R23-'Pipeline Co CF'!R34</f>
        <v>2209732.75246723</v>
      </c>
      <c r="T23" s="459" t="n">
        <f aca="false">S23-'Pipeline Co CF'!S34</f>
        <v>2276010.0799919</v>
      </c>
    </row>
    <row r="24" customFormat="false" ht="12.75" hidden="false" customHeight="false" outlineLevel="0" collapsed="false">
      <c r="A24" s="738" t="s">
        <v>389</v>
      </c>
      <c r="D24" s="669"/>
      <c r="E24" s="669" t="n">
        <v>37000</v>
      </c>
      <c r="F24" s="669" t="n">
        <v>99000</v>
      </c>
      <c r="G24" s="669" t="n">
        <v>120000</v>
      </c>
      <c r="H24" s="731" t="n">
        <v>0</v>
      </c>
      <c r="I24" s="731" t="n">
        <v>0</v>
      </c>
      <c r="J24" s="459" t="n">
        <f aca="false">G24+H24+I24</f>
        <v>120000</v>
      </c>
      <c r="K24" s="459" t="n">
        <f aca="false">J24+'Pipeline Co IS'!H137+'Pipeline Co IS'!H139</f>
        <v>160365</v>
      </c>
      <c r="L24" s="459" t="n">
        <f aca="false">K24+'Pipeline Co IS'!I137+'Pipeline Co IS'!I139</f>
        <v>202260.15</v>
      </c>
      <c r="M24" s="459" t="n">
        <f aca="false">L24+'Pipeline Co IS'!J137+'Pipeline Co IS'!J139</f>
        <v>245700.7515</v>
      </c>
      <c r="N24" s="459" t="n">
        <f aca="false">M24+'Pipeline Co IS'!K137+'Pipeline Co IS'!K139</f>
        <v>290702.259015</v>
      </c>
      <c r="O24" s="459" t="n">
        <f aca="false">N24+'Pipeline Co IS'!L137+'Pipeline Co IS'!L139</f>
        <v>337280.28160515</v>
      </c>
      <c r="P24" s="459" t="n">
        <f aca="false">O24+'Pipeline Co IS'!M137+'Pipeline Co IS'!M139</f>
        <v>385450.584421202</v>
      </c>
      <c r="Q24" s="459" t="n">
        <f aca="false">P24+'Pipeline Co IS'!N137+'Pipeline Co IS'!N139</f>
        <v>435229.090265414</v>
      </c>
      <c r="R24" s="459" t="n">
        <f aca="false">Q24+'Pipeline Co IS'!O137+'Pipeline Co IS'!O139</f>
        <v>486631.881168068</v>
      </c>
      <c r="S24" s="459" t="n">
        <f aca="false">R24+'Pipeline Co IS'!P137+'Pipeline Co IS'!P139</f>
        <v>539675.199979748</v>
      </c>
      <c r="T24" s="459" t="n">
        <f aca="false">S24+'Pipeline Co IS'!Q137+'Pipeline Co IS'!Q139</f>
        <v>594375.451979546</v>
      </c>
    </row>
    <row r="25" customFormat="false" ht="12.75" hidden="false" customHeight="false" outlineLevel="0" collapsed="false">
      <c r="A25" s="738" t="s">
        <v>390</v>
      </c>
      <c r="D25" s="669"/>
      <c r="E25" s="669" t="n">
        <v>45000</v>
      </c>
      <c r="F25" s="669" t="n">
        <v>20000</v>
      </c>
      <c r="G25" s="669" t="n">
        <v>32000</v>
      </c>
      <c r="H25" s="731" t="n">
        <v>0</v>
      </c>
      <c r="I25" s="731" t="n">
        <v>0</v>
      </c>
      <c r="J25" s="459" t="n">
        <f aca="false">SUM(G25+H25+I25)</f>
        <v>32000</v>
      </c>
      <c r="K25" s="459" t="n">
        <f aca="false">J25</f>
        <v>32000</v>
      </c>
      <c r="L25" s="459" t="n">
        <f aca="false">K25</f>
        <v>32000</v>
      </c>
      <c r="M25" s="459" t="n">
        <f aca="false">L25</f>
        <v>32000</v>
      </c>
      <c r="N25" s="459" t="n">
        <f aca="false">M25</f>
        <v>32000</v>
      </c>
      <c r="O25" s="459" t="n">
        <f aca="false">N25</f>
        <v>32000</v>
      </c>
      <c r="P25" s="459" t="n">
        <f aca="false">O25</f>
        <v>32000</v>
      </c>
      <c r="Q25" s="459" t="n">
        <f aca="false">P25</f>
        <v>32000</v>
      </c>
      <c r="R25" s="459" t="n">
        <f aca="false">Q25</f>
        <v>32000</v>
      </c>
      <c r="S25" s="459" t="n">
        <f aca="false">R25</f>
        <v>32000</v>
      </c>
      <c r="T25" s="459" t="n">
        <f aca="false">S25</f>
        <v>32000</v>
      </c>
    </row>
    <row r="26" customFormat="false" ht="12.75" hidden="false" customHeight="false" outlineLevel="0" collapsed="false">
      <c r="A26" s="738" t="s">
        <v>391</v>
      </c>
      <c r="D26" s="734"/>
      <c r="E26" s="531" t="n">
        <f aca="false">E23-E24+E25</f>
        <v>1500000</v>
      </c>
      <c r="F26" s="531" t="n">
        <f aca="false">F23-F24+F25</f>
        <v>1600000</v>
      </c>
      <c r="G26" s="531" t="n">
        <f aca="false">G23-G24+G25</f>
        <v>1554000</v>
      </c>
      <c r="H26" s="735"/>
      <c r="I26" s="736"/>
      <c r="J26" s="538" t="n">
        <f aca="false">J23-J24+J25</f>
        <v>1554000</v>
      </c>
      <c r="K26" s="538" t="n">
        <f aca="false">K23-K24+K25</f>
        <v>1574235</v>
      </c>
      <c r="L26" s="538" t="n">
        <f aca="false">L23-L24+L25</f>
        <v>1593545.85</v>
      </c>
      <c r="M26" s="538" t="n">
        <f aca="false">M23-M24+M25</f>
        <v>1611923.3085</v>
      </c>
      <c r="N26" s="538" t="n">
        <f aca="false">N23-N24+N25</f>
        <v>1629358.041585</v>
      </c>
      <c r="O26" s="538" t="n">
        <f aca="false">O23-O24+O25</f>
        <v>1645840.62200085</v>
      </c>
      <c r="P26" s="538" t="n">
        <f aca="false">P23-P24+P25</f>
        <v>1661361.52822086</v>
      </c>
      <c r="Q26" s="538" t="n">
        <f aca="false">Q23-Q24+Q25</f>
        <v>1675911.14350307</v>
      </c>
      <c r="R26" s="538" t="n">
        <f aca="false">R23-R24+R25</f>
        <v>1689479.7549381</v>
      </c>
      <c r="S26" s="538" t="n">
        <f aca="false">S23-S24+S25</f>
        <v>1702057.55248748</v>
      </c>
      <c r="T26" s="538" t="n">
        <f aca="false">T23-T24+T25</f>
        <v>1713634.62801235</v>
      </c>
    </row>
    <row r="27" customFormat="false" ht="12.75" hidden="false" customHeight="false" outlineLevel="0" collapsed="false">
      <c r="A27" s="732" t="s">
        <v>392</v>
      </c>
      <c r="D27" s="669"/>
      <c r="E27" s="669" t="n">
        <v>774000</v>
      </c>
      <c r="F27" s="669" t="n">
        <v>753000</v>
      </c>
      <c r="G27" s="669" t="n">
        <v>723000</v>
      </c>
      <c r="H27" s="731" t="n">
        <v>0</v>
      </c>
      <c r="I27" s="731" t="n">
        <v>0</v>
      </c>
      <c r="J27" s="459" t="n">
        <f aca="false">G27+H27+I27</f>
        <v>723000</v>
      </c>
      <c r="K27" s="459" t="n">
        <f aca="false">J27-'Pipeline Co IS'!H138</f>
        <v>704925</v>
      </c>
      <c r="L27" s="459" t="n">
        <f aca="false">K27-'Pipeline Co IS'!I138</f>
        <v>686850</v>
      </c>
      <c r="M27" s="459" t="n">
        <f aca="false">L27-'Pipeline Co IS'!J138</f>
        <v>668775</v>
      </c>
      <c r="N27" s="459" t="n">
        <f aca="false">M27-'Pipeline Co IS'!K138</f>
        <v>650700</v>
      </c>
      <c r="O27" s="459" t="n">
        <f aca="false">N27-'Pipeline Co IS'!L138</f>
        <v>632625</v>
      </c>
      <c r="P27" s="459" t="n">
        <f aca="false">O27-'Pipeline Co IS'!M138</f>
        <v>614550</v>
      </c>
      <c r="Q27" s="459" t="n">
        <f aca="false">P27-'Pipeline Co IS'!N138</f>
        <v>596475</v>
      </c>
      <c r="R27" s="459" t="n">
        <f aca="false">Q27-'Pipeline Co IS'!O138</f>
        <v>578400</v>
      </c>
      <c r="S27" s="459" t="n">
        <f aca="false">R27-'Pipeline Co IS'!P138</f>
        <v>560325</v>
      </c>
      <c r="T27" s="459" t="n">
        <f aca="false">S27-'Pipeline Co IS'!Q138</f>
        <v>542250</v>
      </c>
    </row>
    <row r="28" customFormat="false" ht="12.75" hidden="false" customHeight="false" outlineLevel="0" collapsed="false">
      <c r="A28" s="732" t="s">
        <v>393</v>
      </c>
      <c r="D28" s="669"/>
      <c r="E28" s="669" t="n">
        <v>11000</v>
      </c>
      <c r="F28" s="669" t="n">
        <v>11000</v>
      </c>
      <c r="G28" s="669" t="n">
        <v>10000</v>
      </c>
      <c r="H28" s="731" t="n">
        <v>0</v>
      </c>
      <c r="I28" s="731" t="n">
        <v>0</v>
      </c>
      <c r="J28" s="459" t="n">
        <f aca="false">G28+H28+I28</f>
        <v>10000</v>
      </c>
      <c r="K28" s="459" t="n">
        <f aca="false">J28</f>
        <v>10000</v>
      </c>
      <c r="L28" s="459" t="n">
        <f aca="false">K28</f>
        <v>10000</v>
      </c>
      <c r="M28" s="459" t="n">
        <f aca="false">L28</f>
        <v>10000</v>
      </c>
      <c r="N28" s="459" t="n">
        <f aca="false">M28</f>
        <v>10000</v>
      </c>
      <c r="O28" s="459" t="n">
        <f aca="false">N28</f>
        <v>10000</v>
      </c>
      <c r="P28" s="459" t="n">
        <f aca="false">O28</f>
        <v>10000</v>
      </c>
      <c r="Q28" s="459" t="n">
        <f aca="false">P28</f>
        <v>10000</v>
      </c>
      <c r="R28" s="459" t="n">
        <f aca="false">Q28</f>
        <v>10000</v>
      </c>
      <c r="S28" s="459" t="n">
        <f aca="false">R28</f>
        <v>10000</v>
      </c>
      <c r="T28" s="459" t="n">
        <f aca="false">S28</f>
        <v>10000</v>
      </c>
    </row>
    <row r="29" customFormat="false" ht="12.75" hidden="false" customHeight="false" outlineLevel="0" collapsed="false">
      <c r="A29" s="732" t="s">
        <v>394</v>
      </c>
      <c r="D29" s="669"/>
      <c r="E29" s="669" t="n">
        <v>1000</v>
      </c>
      <c r="F29" s="669" t="n">
        <v>8000</v>
      </c>
      <c r="G29" s="669" t="n">
        <v>73000</v>
      </c>
      <c r="H29" s="731" t="n">
        <v>0</v>
      </c>
      <c r="I29" s="731" t="n">
        <v>0</v>
      </c>
      <c r="J29" s="459" t="n">
        <f aca="false">G29+H29+I29</f>
        <v>73000</v>
      </c>
      <c r="K29" s="459" t="n">
        <f aca="false">J29</f>
        <v>73000</v>
      </c>
      <c r="L29" s="459" t="n">
        <f aca="false">K29</f>
        <v>73000</v>
      </c>
      <c r="M29" s="459" t="n">
        <f aca="false">L29</f>
        <v>73000</v>
      </c>
      <c r="N29" s="459" t="n">
        <f aca="false">M29</f>
        <v>73000</v>
      </c>
      <c r="O29" s="459" t="n">
        <f aca="false">N29</f>
        <v>73000</v>
      </c>
      <c r="P29" s="459" t="n">
        <f aca="false">O29</f>
        <v>73000</v>
      </c>
      <c r="Q29" s="459" t="n">
        <f aca="false">P29</f>
        <v>73000</v>
      </c>
      <c r="R29" s="459" t="n">
        <f aca="false">Q29</f>
        <v>73000</v>
      </c>
      <c r="S29" s="459" t="n">
        <f aca="false">R29</f>
        <v>73000</v>
      </c>
      <c r="T29" s="459" t="n">
        <f aca="false">S29</f>
        <v>73000</v>
      </c>
    </row>
    <row r="30" customFormat="false" ht="12.75" hidden="false" customHeight="false" outlineLevel="0" collapsed="false">
      <c r="A30" s="732" t="s">
        <v>395</v>
      </c>
      <c r="D30" s="669"/>
      <c r="E30" s="669" t="n">
        <v>2000</v>
      </c>
      <c r="F30" s="669" t="n">
        <v>7000</v>
      </c>
      <c r="G30" s="669" t="n">
        <v>63000</v>
      </c>
      <c r="H30" s="731" t="n">
        <v>0</v>
      </c>
      <c r="I30" s="731" t="n">
        <v>0</v>
      </c>
      <c r="J30" s="459" t="n">
        <f aca="false">G30+H30+I30</f>
        <v>63000</v>
      </c>
      <c r="K30" s="459" t="n">
        <f aca="false">J30</f>
        <v>63000</v>
      </c>
      <c r="L30" s="459" t="n">
        <f aca="false">K30</f>
        <v>63000</v>
      </c>
      <c r="M30" s="459" t="n">
        <f aca="false">L30</f>
        <v>63000</v>
      </c>
      <c r="N30" s="459" t="n">
        <f aca="false">M30</f>
        <v>63000</v>
      </c>
      <c r="O30" s="459" t="n">
        <f aca="false">N30</f>
        <v>63000</v>
      </c>
      <c r="P30" s="459" t="n">
        <f aca="false">O30</f>
        <v>63000</v>
      </c>
      <c r="Q30" s="459" t="n">
        <f aca="false">P30</f>
        <v>63000</v>
      </c>
      <c r="R30" s="459" t="n">
        <f aca="false">Q30</f>
        <v>63000</v>
      </c>
      <c r="S30" s="459" t="n">
        <f aca="false">R30</f>
        <v>63000</v>
      </c>
      <c r="T30" s="459" t="n">
        <f aca="false">S30</f>
        <v>63000</v>
      </c>
    </row>
    <row r="31" customFormat="false" ht="12.75" hidden="true" customHeight="false" outlineLevel="1" collapsed="false">
      <c r="A31" s="732" t="s">
        <v>396</v>
      </c>
      <c r="D31" s="669"/>
      <c r="E31" s="669" t="n">
        <v>0</v>
      </c>
      <c r="F31" s="669" t="n">
        <v>0</v>
      </c>
      <c r="G31" s="669" t="n">
        <v>0</v>
      </c>
      <c r="H31" s="731"/>
      <c r="I31" s="731"/>
    </row>
    <row r="32" customFormat="false" ht="12.75" hidden="true" customHeight="false" outlineLevel="1" collapsed="false">
      <c r="A32" s="732" t="s">
        <v>397</v>
      </c>
      <c r="D32" s="669"/>
      <c r="E32" s="669" t="n">
        <v>0</v>
      </c>
      <c r="F32" s="669" t="n">
        <v>0</v>
      </c>
      <c r="G32" s="669" t="n">
        <v>0</v>
      </c>
      <c r="H32" s="731"/>
      <c r="I32" s="731"/>
    </row>
    <row r="33" customFormat="false" ht="12.75" hidden="false" customHeight="false" outlineLevel="0" collapsed="false">
      <c r="A33" s="621" t="s">
        <v>398</v>
      </c>
      <c r="D33" s="739"/>
      <c r="E33" s="672" t="n">
        <f aca="false">E26+SUM(E27:E30)</f>
        <v>2288000</v>
      </c>
      <c r="F33" s="672" t="n">
        <f aca="false">F26+SUM(F27:F30)</f>
        <v>2379000</v>
      </c>
      <c r="G33" s="672" t="n">
        <f aca="false">G26+SUM(G27:G30)</f>
        <v>2423000</v>
      </c>
      <c r="H33" s="735"/>
      <c r="I33" s="736"/>
      <c r="J33" s="673" t="n">
        <f aca="false">J26+SUM(J27:J32)</f>
        <v>2423000</v>
      </c>
      <c r="K33" s="673" t="n">
        <f aca="false">K26+SUM(K27:K32)</f>
        <v>2425160</v>
      </c>
      <c r="L33" s="673" t="n">
        <f aca="false">L26+SUM(L27:L32)</f>
        <v>2426395.85</v>
      </c>
      <c r="M33" s="673" t="n">
        <f aca="false">M26+SUM(M27:M32)</f>
        <v>2426698.3085</v>
      </c>
      <c r="N33" s="673" t="n">
        <f aca="false">N26+SUM(N27:N32)</f>
        <v>2426058.041585</v>
      </c>
      <c r="O33" s="673" t="n">
        <f aca="false">O26+SUM(O27:O32)</f>
        <v>2424465.62200085</v>
      </c>
      <c r="P33" s="673" t="n">
        <f aca="false">P26+SUM(P27:P32)</f>
        <v>2421911.52822086</v>
      </c>
      <c r="Q33" s="673" t="n">
        <f aca="false">Q26+SUM(Q27:Q32)</f>
        <v>2418386.14350307</v>
      </c>
      <c r="R33" s="673" t="n">
        <f aca="false">R26+SUM(R27:R32)</f>
        <v>2413879.7549381</v>
      </c>
      <c r="S33" s="673" t="n">
        <f aca="false">S26+SUM(S27:S32)</f>
        <v>2408382.55248748</v>
      </c>
      <c r="T33" s="673" t="n">
        <f aca="false">T26+SUM(T27:T32)</f>
        <v>2401884.62801235</v>
      </c>
    </row>
    <row r="34" customFormat="false" ht="12.75" hidden="false" customHeight="false" outlineLevel="0" collapsed="false">
      <c r="A34" s="732"/>
      <c r="D34" s="508"/>
      <c r="E34" s="508"/>
      <c r="F34" s="508"/>
      <c r="G34" s="508"/>
      <c r="H34" s="18"/>
      <c r="I34" s="737"/>
    </row>
    <row r="35" customFormat="false" ht="13.5" hidden="false" customHeight="false" outlineLevel="0" collapsed="false">
      <c r="A35" s="740" t="s">
        <v>399</v>
      </c>
      <c r="D35" s="741"/>
      <c r="E35" s="742" t="n">
        <f aca="false">E21+E33</f>
        <v>2560000</v>
      </c>
      <c r="F35" s="742" t="n">
        <f aca="false">F21+F33</f>
        <v>2806000</v>
      </c>
      <c r="G35" s="743" t="n">
        <f aca="false">G21+G33</f>
        <v>3010000</v>
      </c>
      <c r="H35" s="744"/>
      <c r="I35" s="745"/>
      <c r="J35" s="746" t="n">
        <f aca="false">J21+J33</f>
        <v>2950000</v>
      </c>
      <c r="K35" s="746" t="n">
        <f aca="false">K21+K33</f>
        <v>2843200.61472603</v>
      </c>
      <c r="L35" s="746" t="n">
        <f aca="false">L21+L33</f>
        <v>2788163.89820424</v>
      </c>
      <c r="M35" s="746" t="n">
        <f aca="false">M21+M33</f>
        <v>2742152.61451505</v>
      </c>
      <c r="N35" s="746" t="n">
        <f aca="false">N21+N33</f>
        <v>2705136.65410502</v>
      </c>
      <c r="O35" s="746" t="n">
        <f aca="false">O21+O33</f>
        <v>2677084.80475575</v>
      </c>
      <c r="P35" s="746" t="n">
        <f aca="false">P21+P33</f>
        <v>2657964.72032083</v>
      </c>
      <c r="Q35" s="746" t="n">
        <f aca="false">Q21+Q33</f>
        <v>2647742.88865089</v>
      </c>
      <c r="R35" s="746" t="n">
        <f aca="false">R21+R33</f>
        <v>2646384.59868669</v>
      </c>
      <c r="S35" s="746" t="n">
        <f aca="false">S21+S33</f>
        <v>2653853.90669937</v>
      </c>
      <c r="T35" s="746" t="n">
        <f aca="false">T21+T33</f>
        <v>2670113.60165695</v>
      </c>
    </row>
    <row r="36" customFormat="false" ht="13.5" hidden="false" customHeight="false" outlineLevel="0" collapsed="false">
      <c r="A36" s="740"/>
      <c r="D36" s="508"/>
      <c r="E36" s="508"/>
      <c r="F36" s="508"/>
      <c r="G36" s="508"/>
      <c r="H36" s="18"/>
      <c r="I36" s="737"/>
    </row>
    <row r="37" customFormat="false" ht="12.75" hidden="false" customHeight="false" outlineLevel="0" collapsed="false">
      <c r="A37" s="740" t="s">
        <v>400</v>
      </c>
      <c r="D37" s="508"/>
      <c r="E37" s="508"/>
      <c r="F37" s="508"/>
      <c r="G37" s="508"/>
      <c r="H37" s="18"/>
      <c r="I37" s="737"/>
    </row>
    <row r="38" customFormat="false" ht="12.75" hidden="false" customHeight="false" outlineLevel="0" collapsed="false">
      <c r="A38" s="730" t="s">
        <v>401</v>
      </c>
      <c r="D38" s="669"/>
      <c r="E38" s="669" t="n">
        <v>28000</v>
      </c>
      <c r="F38" s="669" t="n">
        <v>32000</v>
      </c>
      <c r="G38" s="669" t="n">
        <v>42000</v>
      </c>
      <c r="H38" s="731" t="n">
        <v>0</v>
      </c>
      <c r="I38" s="731" t="n">
        <v>0</v>
      </c>
      <c r="J38" s="459" t="n">
        <f aca="false">G38+H38+I38</f>
        <v>42000</v>
      </c>
      <c r="K38" s="459" t="n">
        <f aca="false">'Pipeline Co IS'!H25*('Pipeline Co BS'!K89/365)</f>
        <v>35383.5616438356</v>
      </c>
      <c r="L38" s="459" t="n">
        <f aca="false">'Pipeline Co IS'!I25*('Pipeline Co BS'!L89/365)</f>
        <v>36268.1506849315</v>
      </c>
      <c r="M38" s="459" t="n">
        <f aca="false">'Pipeline Co IS'!J25*('Pipeline Co BS'!M89/365)</f>
        <v>37174.8544520548</v>
      </c>
      <c r="N38" s="459" t="n">
        <f aca="false">'Pipeline Co IS'!K25*('Pipeline Co BS'!N89/365)</f>
        <v>38104.2258133561</v>
      </c>
      <c r="O38" s="459" t="n">
        <f aca="false">'Pipeline Co IS'!L25*('Pipeline Co BS'!O89/365)</f>
        <v>39056.83145869</v>
      </c>
      <c r="P38" s="459" t="n">
        <f aca="false">'Pipeline Co IS'!M25*('Pipeline Co BS'!P89/365)</f>
        <v>40033.2522451573</v>
      </c>
      <c r="Q38" s="459" t="n">
        <f aca="false">'Pipeline Co IS'!N25*('Pipeline Co BS'!Q89/365)</f>
        <v>41034.0835512862</v>
      </c>
      <c r="R38" s="459" t="n">
        <f aca="false">'Pipeline Co IS'!O25*('Pipeline Co BS'!R89/365)</f>
        <v>42059.9356400684</v>
      </c>
      <c r="S38" s="459" t="n">
        <f aca="false">'Pipeline Co IS'!P25*('Pipeline Co BS'!S89/365)</f>
        <v>43111.4340310701</v>
      </c>
      <c r="T38" s="459" t="n">
        <f aca="false">'Pipeline Co IS'!Q25*('Pipeline Co BS'!T89/365)</f>
        <v>44189.2198818468</v>
      </c>
    </row>
    <row r="39" customFormat="false" ht="12.75" hidden="false" customHeight="false" outlineLevel="0" collapsed="false">
      <c r="A39" s="733" t="s">
        <v>402</v>
      </c>
      <c r="D39" s="669"/>
      <c r="E39" s="669" t="n">
        <v>30000</v>
      </c>
      <c r="F39" s="669" t="n">
        <v>56000</v>
      </c>
      <c r="G39" s="669" t="n">
        <v>89000</v>
      </c>
      <c r="H39" s="731" t="n">
        <v>0</v>
      </c>
      <c r="I39" s="731" t="n">
        <v>0</v>
      </c>
      <c r="J39" s="459" t="n">
        <f aca="false">G39+H39+I39</f>
        <v>89000</v>
      </c>
      <c r="K39" s="459" t="n">
        <f aca="false">('Pipeline Co IS'!H11*'Pipeline Co BS'!K90)*('Pipeline Co BS'!K91/365)</f>
        <v>77435.1780821918</v>
      </c>
      <c r="L39" s="459" t="n">
        <f aca="false">('Pipeline Co IS'!I11*'Pipeline Co BS'!L90)*('Pipeline Co BS'!L91/365)</f>
        <v>78209.5298630137</v>
      </c>
      <c r="M39" s="459" t="n">
        <f aca="false">('Pipeline Co IS'!J11*'Pipeline Co BS'!M90)*('Pipeline Co BS'!M91/365)</f>
        <v>78991.6251616438</v>
      </c>
      <c r="N39" s="459" t="n">
        <f aca="false">('Pipeline Co IS'!K11*'Pipeline Co BS'!N90)*('Pipeline Co BS'!N91/365)</f>
        <v>79781.5414132603</v>
      </c>
      <c r="O39" s="459" t="n">
        <f aca="false">('Pipeline Co IS'!L11*'Pipeline Co BS'!O90)*('Pipeline Co BS'!O91/365)</f>
        <v>80579.3568273929</v>
      </c>
      <c r="P39" s="459" t="n">
        <f aca="false">('Pipeline Co IS'!M11*'Pipeline Co BS'!P90)*('Pipeline Co BS'!P91/365)</f>
        <v>81385.1503956668</v>
      </c>
      <c r="Q39" s="459" t="n">
        <f aca="false">('Pipeline Co IS'!N11*'Pipeline Co BS'!Q90)*('Pipeline Co BS'!Q91/365)</f>
        <v>82199.0018996235</v>
      </c>
      <c r="R39" s="459" t="n">
        <f aca="false">('Pipeline Co IS'!O11*'Pipeline Co BS'!R90)*('Pipeline Co BS'!R91/365)</f>
        <v>83020.9919186197</v>
      </c>
      <c r="S39" s="459" t="n">
        <f aca="false">('Pipeline Co IS'!P11*'Pipeline Co BS'!S90)*('Pipeline Co BS'!S91/365)</f>
        <v>83851.2018378059</v>
      </c>
      <c r="T39" s="459" t="n">
        <f aca="false">('Pipeline Co IS'!Q11*'Pipeline Co BS'!T90)*('Pipeline Co BS'!T91/365)</f>
        <v>84689.713856184</v>
      </c>
    </row>
    <row r="40" customFormat="false" ht="12.75" hidden="false" customHeight="false" outlineLevel="0" collapsed="false">
      <c r="A40" s="733" t="s">
        <v>403</v>
      </c>
      <c r="D40" s="669"/>
      <c r="E40" s="669" t="n">
        <v>8000</v>
      </c>
      <c r="F40" s="669" t="n">
        <v>3000</v>
      </c>
      <c r="G40" s="669" t="n">
        <v>6000</v>
      </c>
      <c r="H40" s="731" t="n">
        <v>0</v>
      </c>
      <c r="I40" s="731" t="n">
        <v>-6000</v>
      </c>
      <c r="J40" s="459" t="n">
        <f aca="false">G40+H40+I40</f>
        <v>0</v>
      </c>
      <c r="K40" s="459" t="n">
        <f aca="false">J40</f>
        <v>0</v>
      </c>
      <c r="L40" s="459" t="n">
        <f aca="false">K40</f>
        <v>0</v>
      </c>
      <c r="M40" s="459" t="n">
        <f aca="false">L40</f>
        <v>0</v>
      </c>
      <c r="N40" s="459" t="n">
        <f aca="false">M40</f>
        <v>0</v>
      </c>
      <c r="O40" s="459" t="n">
        <f aca="false">N40</f>
        <v>0</v>
      </c>
      <c r="P40" s="459" t="n">
        <f aca="false">O40</f>
        <v>0</v>
      </c>
      <c r="Q40" s="459" t="n">
        <f aca="false">P40</f>
        <v>0</v>
      </c>
      <c r="R40" s="459" t="n">
        <f aca="false">Q40</f>
        <v>0</v>
      </c>
      <c r="S40" s="459" t="n">
        <f aca="false">R40</f>
        <v>0</v>
      </c>
      <c r="T40" s="459" t="n">
        <f aca="false">S40</f>
        <v>0</v>
      </c>
    </row>
    <row r="41" customFormat="false" ht="12.75" hidden="false" customHeight="false" outlineLevel="0" collapsed="false">
      <c r="A41" s="733" t="s">
        <v>404</v>
      </c>
      <c r="D41" s="669"/>
      <c r="E41" s="669" t="n">
        <v>29000</v>
      </c>
      <c r="F41" s="669" t="n">
        <v>31000</v>
      </c>
      <c r="G41" s="669" t="n">
        <v>31000</v>
      </c>
      <c r="H41" s="731" t="n">
        <v>0</v>
      </c>
      <c r="I41" s="731" t="n">
        <v>-31000</v>
      </c>
      <c r="J41" s="459" t="n">
        <f aca="false">G41+H41+I41</f>
        <v>0</v>
      </c>
      <c r="K41" s="459" t="n">
        <f aca="false">J41</f>
        <v>0</v>
      </c>
      <c r="L41" s="459" t="n">
        <f aca="false">K41</f>
        <v>0</v>
      </c>
      <c r="M41" s="459" t="n">
        <f aca="false">L41</f>
        <v>0</v>
      </c>
      <c r="N41" s="459" t="n">
        <f aca="false">M41</f>
        <v>0</v>
      </c>
      <c r="O41" s="459" t="n">
        <f aca="false">N41</f>
        <v>0</v>
      </c>
      <c r="P41" s="459" t="n">
        <f aca="false">O41</f>
        <v>0</v>
      </c>
      <c r="Q41" s="459" t="n">
        <f aca="false">P41</f>
        <v>0</v>
      </c>
      <c r="R41" s="459" t="n">
        <f aca="false">Q41</f>
        <v>0</v>
      </c>
      <c r="S41" s="459" t="n">
        <f aca="false">R41</f>
        <v>0</v>
      </c>
      <c r="T41" s="459" t="n">
        <f aca="false">S41</f>
        <v>0</v>
      </c>
    </row>
    <row r="42" customFormat="false" ht="12.75" hidden="false" customHeight="false" outlineLevel="0" collapsed="false">
      <c r="A42" s="733" t="s">
        <v>405</v>
      </c>
      <c r="D42" s="669"/>
      <c r="E42" s="669" t="n">
        <v>30000</v>
      </c>
      <c r="F42" s="669" t="n">
        <v>45000</v>
      </c>
      <c r="G42" s="669" t="n">
        <v>23000</v>
      </c>
      <c r="H42" s="731" t="n">
        <v>0</v>
      </c>
      <c r="I42" s="731" t="n">
        <v>-23000</v>
      </c>
      <c r="J42" s="459" t="n">
        <f aca="false">G42+H42+I42</f>
        <v>0</v>
      </c>
      <c r="K42" s="459" t="n">
        <f aca="false">J42</f>
        <v>0</v>
      </c>
      <c r="L42" s="459" t="n">
        <f aca="false">K42</f>
        <v>0</v>
      </c>
      <c r="M42" s="459" t="n">
        <f aca="false">L42</f>
        <v>0</v>
      </c>
      <c r="N42" s="459" t="n">
        <f aca="false">M42</f>
        <v>0</v>
      </c>
      <c r="O42" s="459" t="n">
        <f aca="false">N42</f>
        <v>0</v>
      </c>
      <c r="P42" s="459" t="n">
        <f aca="false">O42</f>
        <v>0</v>
      </c>
      <c r="Q42" s="459" t="n">
        <f aca="false">P42</f>
        <v>0</v>
      </c>
      <c r="R42" s="459" t="n">
        <f aca="false">Q42</f>
        <v>0</v>
      </c>
      <c r="S42" s="459" t="n">
        <f aca="false">R42</f>
        <v>0</v>
      </c>
      <c r="T42" s="459" t="n">
        <f aca="false">S42</f>
        <v>0</v>
      </c>
    </row>
    <row r="43" customFormat="false" ht="12.75" hidden="false" customHeight="false" outlineLevel="0" collapsed="false">
      <c r="A43" s="733" t="s">
        <v>406</v>
      </c>
      <c r="D43" s="669"/>
      <c r="E43" s="669" t="n">
        <v>79000</v>
      </c>
      <c r="F43" s="669" t="n">
        <v>104000</v>
      </c>
      <c r="G43" s="669" t="n">
        <v>91000</v>
      </c>
      <c r="H43" s="731" t="n">
        <v>0</v>
      </c>
      <c r="I43" s="731" t="n">
        <v>0</v>
      </c>
      <c r="J43" s="459" t="n">
        <f aca="false">G43+H43+I43</f>
        <v>91000</v>
      </c>
      <c r="K43" s="459" t="n">
        <f aca="false">J43</f>
        <v>91000</v>
      </c>
      <c r="L43" s="459" t="n">
        <f aca="false">K43</f>
        <v>91000</v>
      </c>
      <c r="M43" s="459" t="n">
        <f aca="false">L43</f>
        <v>91000</v>
      </c>
      <c r="N43" s="459" t="n">
        <f aca="false">M43</f>
        <v>91000</v>
      </c>
      <c r="O43" s="459" t="n">
        <f aca="false">N43</f>
        <v>91000</v>
      </c>
      <c r="P43" s="459" t="n">
        <f aca="false">O43</f>
        <v>91000</v>
      </c>
      <c r="Q43" s="459" t="n">
        <f aca="false">P43</f>
        <v>91000</v>
      </c>
      <c r="R43" s="459" t="n">
        <f aca="false">Q43</f>
        <v>91000</v>
      </c>
      <c r="S43" s="459" t="n">
        <f aca="false">R43</f>
        <v>91000</v>
      </c>
      <c r="T43" s="459" t="n">
        <f aca="false">S43</f>
        <v>91000</v>
      </c>
    </row>
    <row r="44" customFormat="false" ht="12.75" hidden="true" customHeight="false" outlineLevel="1" collapsed="false">
      <c r="A44" s="733" t="s">
        <v>407</v>
      </c>
      <c r="D44" s="669"/>
      <c r="E44" s="669" t="n">
        <v>0</v>
      </c>
      <c r="F44" s="669" t="n">
        <v>0</v>
      </c>
      <c r="G44" s="508"/>
      <c r="H44" s="731"/>
      <c r="I44" s="731"/>
    </row>
    <row r="45" customFormat="false" ht="12.75" hidden="true" customHeight="false" outlineLevel="1" collapsed="false">
      <c r="A45" s="733" t="s">
        <v>408</v>
      </c>
      <c r="D45" s="669"/>
      <c r="E45" s="669" t="n">
        <v>0</v>
      </c>
      <c r="F45" s="669" t="n">
        <v>0</v>
      </c>
      <c r="G45" s="508"/>
      <c r="H45" s="731"/>
      <c r="I45" s="731"/>
    </row>
    <row r="46" customFormat="false" ht="12.75" hidden="true" customHeight="false" outlineLevel="1" collapsed="false">
      <c r="A46" s="733" t="s">
        <v>409</v>
      </c>
      <c r="D46" s="669"/>
      <c r="E46" s="669" t="n">
        <v>0</v>
      </c>
      <c r="F46" s="669" t="n">
        <v>0</v>
      </c>
      <c r="G46" s="508"/>
      <c r="H46" s="731"/>
      <c r="I46" s="731"/>
    </row>
    <row r="47" customFormat="false" ht="12.75" hidden="true" customHeight="false" outlineLevel="1" collapsed="false">
      <c r="A47" s="733" t="s">
        <v>410</v>
      </c>
      <c r="D47" s="669"/>
      <c r="E47" s="669" t="n">
        <v>0</v>
      </c>
      <c r="F47" s="669" t="n">
        <v>0</v>
      </c>
      <c r="G47" s="508"/>
      <c r="H47" s="731"/>
      <c r="I47" s="731"/>
    </row>
    <row r="48" customFormat="false" ht="12.75" hidden="false" customHeight="false" outlineLevel="0" collapsed="false">
      <c r="A48" s="302" t="s">
        <v>411</v>
      </c>
      <c r="D48" s="672"/>
      <c r="E48" s="672" t="n">
        <f aca="false">SUM(E38:E47)</f>
        <v>204000</v>
      </c>
      <c r="F48" s="672" t="n">
        <f aca="false">SUM(F38:F47)</f>
        <v>271000</v>
      </c>
      <c r="G48" s="672" t="n">
        <f aca="false">SUM(G38:G47)</f>
        <v>282000</v>
      </c>
      <c r="H48" s="735"/>
      <c r="I48" s="736"/>
      <c r="J48" s="673" t="n">
        <f aca="false">SUM(J38:J47)</f>
        <v>222000</v>
      </c>
      <c r="K48" s="673" t="n">
        <f aca="false">SUM(K38:K47)</f>
        <v>203818.739726027</v>
      </c>
      <c r="L48" s="673" t="n">
        <f aca="false">SUM(L38:L47)</f>
        <v>205477.680547945</v>
      </c>
      <c r="M48" s="673" t="n">
        <f aca="false">SUM(M38:M47)</f>
        <v>207166.479613699</v>
      </c>
      <c r="N48" s="673" t="n">
        <f aca="false">SUM(N38:N47)</f>
        <v>208885.767226616</v>
      </c>
      <c r="O48" s="673" t="n">
        <f aca="false">SUM(O38:O47)</f>
        <v>210636.188286083</v>
      </c>
      <c r="P48" s="673" t="n">
        <f aca="false">SUM(P38:P47)</f>
        <v>212418.402640824</v>
      </c>
      <c r="Q48" s="673" t="n">
        <f aca="false">SUM(Q38:Q47)</f>
        <v>214233.08545091</v>
      </c>
      <c r="R48" s="673" t="n">
        <f aca="false">SUM(R38:R47)</f>
        <v>216080.927558688</v>
      </c>
      <c r="S48" s="673" t="n">
        <f aca="false">SUM(S38:S47)</f>
        <v>217962.635868876</v>
      </c>
      <c r="T48" s="673" t="n">
        <f aca="false">SUM(T38:T47)</f>
        <v>219878.933738031</v>
      </c>
    </row>
    <row r="49" customFormat="false" ht="12.75" hidden="false" customHeight="false" outlineLevel="0" collapsed="false">
      <c r="A49" s="302" t="s">
        <v>412</v>
      </c>
      <c r="D49" s="508"/>
      <c r="E49" s="508"/>
      <c r="F49" s="508"/>
      <c r="G49" s="508"/>
      <c r="H49" s="18"/>
      <c r="I49" s="737"/>
    </row>
    <row r="50" customFormat="false" ht="12.75" hidden="false" customHeight="false" outlineLevel="0" collapsed="false">
      <c r="A50" s="738" t="s">
        <v>413</v>
      </c>
      <c r="D50" s="508"/>
      <c r="E50" s="670" t="n">
        <f aca="false">E101</f>
        <v>1094000</v>
      </c>
      <c r="F50" s="670" t="n">
        <f aca="false">F101</f>
        <v>1193000</v>
      </c>
      <c r="G50" s="670" t="n">
        <f aca="false">G101</f>
        <v>1192000</v>
      </c>
      <c r="H50" s="731" t="n">
        <v>0</v>
      </c>
      <c r="I50" s="731" t="n">
        <v>0</v>
      </c>
      <c r="J50" s="459" t="n">
        <f aca="false">J101</f>
        <v>1192000</v>
      </c>
      <c r="K50" s="459" t="n">
        <f aca="false">K101</f>
        <v>1072800</v>
      </c>
      <c r="L50" s="459" t="n">
        <f aca="false">L101</f>
        <v>953600</v>
      </c>
      <c r="M50" s="459" t="n">
        <f aca="false">M101</f>
        <v>834400</v>
      </c>
      <c r="N50" s="459" t="n">
        <f aca="false">N101</f>
        <v>715200</v>
      </c>
      <c r="O50" s="459" t="n">
        <f aca="false">O101</f>
        <v>596000</v>
      </c>
      <c r="P50" s="459" t="n">
        <f aca="false">P101</f>
        <v>476800</v>
      </c>
      <c r="Q50" s="459" t="n">
        <f aca="false">Q101</f>
        <v>357600</v>
      </c>
      <c r="R50" s="459" t="n">
        <f aca="false">R101</f>
        <v>238400</v>
      </c>
      <c r="S50" s="459" t="n">
        <f aca="false">S101</f>
        <v>119200</v>
      </c>
      <c r="T50" s="459" t="n">
        <f aca="false">T101</f>
        <v>0</v>
      </c>
    </row>
    <row r="51" customFormat="false" ht="12.75" hidden="false" customHeight="false" outlineLevel="0" collapsed="false">
      <c r="A51" s="317" t="s">
        <v>380</v>
      </c>
      <c r="D51" s="669"/>
      <c r="E51" s="669" t="n">
        <v>45000</v>
      </c>
      <c r="F51" s="669" t="n">
        <v>134000</v>
      </c>
      <c r="G51" s="669" t="n">
        <v>166000</v>
      </c>
      <c r="H51" s="731" t="n">
        <v>0</v>
      </c>
      <c r="I51" s="731" t="n">
        <v>0</v>
      </c>
      <c r="J51" s="459" t="n">
        <f aca="false">G51+H51+I51</f>
        <v>166000</v>
      </c>
      <c r="K51" s="459" t="n">
        <f aca="false">J51+'Pipeline Co CF'!J13</f>
        <v>136587.925</v>
      </c>
      <c r="L51" s="459" t="n">
        <f aca="false">K51+'Pipeline Co CF'!K13</f>
        <v>133514.989656299</v>
      </c>
      <c r="M51" s="459" t="n">
        <f aca="false">L51+'Pipeline Co CF'!L13</f>
        <v>133883.954312599</v>
      </c>
      <c r="N51" s="459" t="n">
        <f aca="false">M51+'Pipeline Co CF'!M13</f>
        <v>137694.818968898</v>
      </c>
      <c r="O51" s="459" t="n">
        <f aca="false">N51+'Pipeline Co CF'!N13</f>
        <v>144947.583625198</v>
      </c>
      <c r="P51" s="459" t="n">
        <f aca="false">O51+'Pipeline Co CF'!O13</f>
        <v>155642.248281497</v>
      </c>
      <c r="Q51" s="459" t="n">
        <f aca="false">P51+'Pipeline Co CF'!P13</f>
        <v>169778.812937796</v>
      </c>
      <c r="R51" s="459" t="n">
        <f aca="false">Q51+'Pipeline Co CF'!Q13</f>
        <v>187357.277594096</v>
      </c>
      <c r="S51" s="459" t="n">
        <f aca="false">R51+'Pipeline Co CF'!R13</f>
        <v>208377.642250395</v>
      </c>
      <c r="T51" s="459" t="n">
        <f aca="false">S51+'Pipeline Co CF'!S13</f>
        <v>232839.906906695</v>
      </c>
    </row>
    <row r="52" customFormat="false" ht="12.75" hidden="false" customHeight="false" outlineLevel="0" collapsed="false">
      <c r="A52" s="733" t="s">
        <v>347</v>
      </c>
      <c r="D52" s="669"/>
      <c r="E52" s="669" t="n">
        <v>89000</v>
      </c>
      <c r="F52" s="669" t="n">
        <v>86000</v>
      </c>
      <c r="G52" s="669" t="n">
        <v>89000</v>
      </c>
      <c r="H52" s="731" t="n">
        <v>0</v>
      </c>
      <c r="I52" s="731" t="n">
        <v>0</v>
      </c>
      <c r="J52" s="459" t="n">
        <f aca="false">G52+H52+I52</f>
        <v>89000</v>
      </c>
      <c r="K52" s="459" t="n">
        <f aca="false">J52</f>
        <v>89000</v>
      </c>
      <c r="L52" s="459" t="n">
        <f aca="false">K52</f>
        <v>89000</v>
      </c>
      <c r="M52" s="459" t="n">
        <f aca="false">L52</f>
        <v>89000</v>
      </c>
      <c r="N52" s="459" t="n">
        <f aca="false">M52</f>
        <v>89000</v>
      </c>
      <c r="O52" s="459" t="n">
        <f aca="false">N52</f>
        <v>89000</v>
      </c>
      <c r="P52" s="459" t="n">
        <f aca="false">O52</f>
        <v>89000</v>
      </c>
      <c r="Q52" s="459" t="n">
        <f aca="false">P52</f>
        <v>89000</v>
      </c>
      <c r="R52" s="459" t="n">
        <f aca="false">Q52</f>
        <v>89000</v>
      </c>
      <c r="S52" s="459" t="n">
        <f aca="false">R52</f>
        <v>89000</v>
      </c>
      <c r="T52" s="459" t="n">
        <f aca="false">S52</f>
        <v>89000</v>
      </c>
    </row>
    <row r="53" customFormat="false" ht="12.75" hidden="true" customHeight="false" outlineLevel="1" collapsed="false">
      <c r="A53" s="733" t="s">
        <v>414</v>
      </c>
      <c r="D53" s="669"/>
      <c r="E53" s="669" t="n">
        <v>0</v>
      </c>
      <c r="F53" s="669" t="n">
        <v>0</v>
      </c>
      <c r="G53" s="508"/>
      <c r="H53" s="731"/>
      <c r="I53" s="731"/>
    </row>
    <row r="54" customFormat="false" ht="12.75" hidden="true" customHeight="false" outlineLevel="1" collapsed="false">
      <c r="A54" s="733" t="s">
        <v>415</v>
      </c>
      <c r="D54" s="669"/>
      <c r="E54" s="669" t="n">
        <v>0</v>
      </c>
      <c r="F54" s="669" t="n">
        <v>0</v>
      </c>
      <c r="G54" s="508"/>
      <c r="H54" s="731"/>
      <c r="I54" s="731"/>
    </row>
    <row r="55" customFormat="false" ht="12.75" hidden="true" customHeight="false" outlineLevel="1" collapsed="false">
      <c r="A55" s="322" t="s">
        <v>416</v>
      </c>
      <c r="D55" s="669"/>
      <c r="E55" s="669" t="n">
        <v>0</v>
      </c>
      <c r="F55" s="669" t="n">
        <v>0</v>
      </c>
      <c r="G55" s="508"/>
      <c r="H55" s="731"/>
      <c r="I55" s="731"/>
    </row>
    <row r="56" customFormat="false" ht="12.75" hidden="true" customHeight="false" outlineLevel="1" collapsed="false">
      <c r="A56" s="322" t="s">
        <v>417</v>
      </c>
      <c r="D56" s="669"/>
      <c r="E56" s="669" t="n">
        <v>0</v>
      </c>
      <c r="F56" s="669" t="n">
        <v>0</v>
      </c>
      <c r="G56" s="508"/>
      <c r="H56" s="731"/>
      <c r="I56" s="731"/>
    </row>
    <row r="57" customFormat="false" ht="12.75" hidden="true" customHeight="false" outlineLevel="1" collapsed="false">
      <c r="A57" s="322" t="s">
        <v>418</v>
      </c>
      <c r="D57" s="669"/>
      <c r="E57" s="669" t="n">
        <v>0</v>
      </c>
      <c r="F57" s="669" t="n">
        <v>0</v>
      </c>
      <c r="G57" s="508"/>
      <c r="H57" s="731"/>
      <c r="I57" s="731"/>
    </row>
    <row r="58" customFormat="false" ht="12.75" hidden="true" customHeight="false" outlineLevel="1" collapsed="false">
      <c r="A58" s="322" t="s">
        <v>419</v>
      </c>
      <c r="D58" s="669"/>
      <c r="E58" s="669" t="n">
        <v>0</v>
      </c>
      <c r="F58" s="669" t="n">
        <v>0</v>
      </c>
      <c r="G58" s="508"/>
      <c r="H58" s="731"/>
      <c r="I58" s="731"/>
    </row>
    <row r="59" customFormat="false" ht="12.75" hidden="true" customHeight="false" outlineLevel="1" collapsed="false">
      <c r="A59" s="322" t="s">
        <v>420</v>
      </c>
      <c r="D59" s="669"/>
      <c r="E59" s="669" t="n">
        <v>0</v>
      </c>
      <c r="F59" s="669" t="n">
        <v>0</v>
      </c>
      <c r="G59" s="508"/>
      <c r="H59" s="731"/>
      <c r="I59" s="731"/>
    </row>
    <row r="60" customFormat="false" ht="12.75" hidden="false" customHeight="false" outlineLevel="0" collapsed="false">
      <c r="A60" s="740" t="s">
        <v>421</v>
      </c>
      <c r="D60" s="739"/>
      <c r="E60" s="672" t="n">
        <f aca="false">SUM(E50:E59)</f>
        <v>1228000</v>
      </c>
      <c r="F60" s="672" t="n">
        <f aca="false">SUM(F50:F59)</f>
        <v>1413000</v>
      </c>
      <c r="G60" s="672" t="n">
        <f aca="false">SUM(G50:G59)</f>
        <v>1447000</v>
      </c>
      <c r="H60" s="735"/>
      <c r="I60" s="736"/>
      <c r="J60" s="673" t="n">
        <f aca="false">SUM(J50:J59)</f>
        <v>1447000</v>
      </c>
      <c r="K60" s="673" t="n">
        <f aca="false">SUM(K50:K59)</f>
        <v>1298387.925</v>
      </c>
      <c r="L60" s="673" t="n">
        <f aca="false">SUM(L50:L59)</f>
        <v>1176114.9896563</v>
      </c>
      <c r="M60" s="673" t="n">
        <f aca="false">SUM(M50:M59)</f>
        <v>1057283.9543126</v>
      </c>
      <c r="N60" s="673" t="n">
        <f aca="false">SUM(N50:N59)</f>
        <v>941894.818968898</v>
      </c>
      <c r="O60" s="673" t="n">
        <f aca="false">SUM(O50:O59)</f>
        <v>829947.583625198</v>
      </c>
      <c r="P60" s="673" t="n">
        <f aca="false">SUM(P50:P59)</f>
        <v>721442.248281497</v>
      </c>
      <c r="Q60" s="673" t="n">
        <f aca="false">SUM(Q50:Q59)</f>
        <v>616378.812937797</v>
      </c>
      <c r="R60" s="673" t="n">
        <f aca="false">SUM(R50:R59)</f>
        <v>514757.277594096</v>
      </c>
      <c r="S60" s="673" t="n">
        <f aca="false">SUM(S50:S59)</f>
        <v>416577.642250395</v>
      </c>
      <c r="T60" s="673" t="n">
        <f aca="false">SUM(T50:T59)</f>
        <v>321839.906906695</v>
      </c>
    </row>
    <row r="61" customFormat="false" ht="12.75" hidden="false" customHeight="false" outlineLevel="0" collapsed="false">
      <c r="A61" s="740" t="s">
        <v>422</v>
      </c>
      <c r="D61" s="508"/>
      <c r="E61" s="508"/>
      <c r="F61" s="508"/>
      <c r="G61" s="508"/>
      <c r="H61" s="18"/>
      <c r="I61" s="737"/>
    </row>
    <row r="62" customFormat="false" ht="12.75" hidden="false" customHeight="false" outlineLevel="0" collapsed="false">
      <c r="A62" s="733" t="s">
        <v>423</v>
      </c>
      <c r="D62" s="508"/>
      <c r="E62" s="669" t="n">
        <v>1000</v>
      </c>
      <c r="F62" s="669" t="n">
        <v>1000</v>
      </c>
      <c r="G62" s="669" t="n">
        <v>1000</v>
      </c>
      <c r="H62" s="731" t="n">
        <v>0</v>
      </c>
      <c r="I62" s="731" t="n">
        <v>0</v>
      </c>
      <c r="J62" s="459" t="n">
        <f aca="false">G62+H62+I62</f>
        <v>1000</v>
      </c>
      <c r="K62" s="459" t="n">
        <f aca="false">J62</f>
        <v>1000</v>
      </c>
      <c r="L62" s="459" t="n">
        <f aca="false">K62</f>
        <v>1000</v>
      </c>
      <c r="M62" s="459" t="n">
        <f aca="false">L62</f>
        <v>1000</v>
      </c>
      <c r="N62" s="459" t="n">
        <f aca="false">M62</f>
        <v>1000</v>
      </c>
      <c r="O62" s="459" t="n">
        <f aca="false">N62</f>
        <v>1000</v>
      </c>
      <c r="P62" s="459" t="n">
        <f aca="false">O62</f>
        <v>1000</v>
      </c>
      <c r="Q62" s="459" t="n">
        <f aca="false">P62</f>
        <v>1000</v>
      </c>
      <c r="R62" s="459" t="n">
        <f aca="false">Q62</f>
        <v>1000</v>
      </c>
      <c r="S62" s="459" t="n">
        <f aca="false">R62</f>
        <v>1000</v>
      </c>
      <c r="T62" s="459" t="n">
        <f aca="false">S62</f>
        <v>1000</v>
      </c>
    </row>
    <row r="63" customFormat="false" ht="12.75" hidden="false" customHeight="false" outlineLevel="0" collapsed="false">
      <c r="A63" s="733" t="s">
        <v>424</v>
      </c>
      <c r="D63" s="508"/>
      <c r="E63" s="669" t="n">
        <v>1127000</v>
      </c>
      <c r="F63" s="669" t="n">
        <v>1127000</v>
      </c>
      <c r="G63" s="669" t="n">
        <v>1277000</v>
      </c>
      <c r="H63" s="731" t="n">
        <v>0</v>
      </c>
      <c r="I63" s="731" t="n">
        <v>0</v>
      </c>
      <c r="J63" s="459" t="n">
        <f aca="false">G63+H63+I63</f>
        <v>1277000</v>
      </c>
      <c r="K63" s="459" t="n">
        <f aca="false">J63</f>
        <v>1277000</v>
      </c>
      <c r="L63" s="459" t="n">
        <f aca="false">K63</f>
        <v>1277000</v>
      </c>
      <c r="M63" s="459" t="n">
        <f aca="false">L63</f>
        <v>1277000</v>
      </c>
      <c r="N63" s="459" t="n">
        <f aca="false">M63</f>
        <v>1277000</v>
      </c>
      <c r="O63" s="459" t="n">
        <f aca="false">N63</f>
        <v>1277000</v>
      </c>
      <c r="P63" s="459" t="n">
        <f aca="false">O63</f>
        <v>1277000</v>
      </c>
      <c r="Q63" s="459" t="n">
        <f aca="false">P63</f>
        <v>1277000</v>
      </c>
      <c r="R63" s="459" t="n">
        <f aca="false">Q63</f>
        <v>1277000</v>
      </c>
      <c r="S63" s="459" t="n">
        <f aca="false">R63</f>
        <v>1277000</v>
      </c>
      <c r="T63" s="459" t="n">
        <f aca="false">S63</f>
        <v>1277000</v>
      </c>
    </row>
    <row r="64" customFormat="false" ht="12.75" hidden="false" customHeight="false" outlineLevel="0" collapsed="false">
      <c r="A64" s="733" t="s">
        <v>425</v>
      </c>
      <c r="D64" s="508"/>
      <c r="E64" s="669" t="n">
        <v>0</v>
      </c>
      <c r="F64" s="669" t="n">
        <v>-6000</v>
      </c>
      <c r="G64" s="669" t="n">
        <v>3000</v>
      </c>
      <c r="H64" s="731" t="n">
        <v>0</v>
      </c>
      <c r="I64" s="731" t="n">
        <v>0</v>
      </c>
      <c r="J64" s="459" t="n">
        <f aca="false">G64+H64+I64</f>
        <v>3000</v>
      </c>
      <c r="K64" s="459" t="n">
        <f aca="false">J64+'Pipeline Co IS'!H55+'Pipeline Co CF'!J49</f>
        <v>62993.95</v>
      </c>
      <c r="L64" s="459" t="n">
        <f aca="false">K64+'Pipeline Co IS'!I55+'Pipeline Co CF'!K49</f>
        <v>128571.228</v>
      </c>
      <c r="M64" s="459" t="n">
        <f aca="false">L64+'Pipeline Co IS'!J55+'Pipeline Co CF'!L49</f>
        <v>199702.18058875</v>
      </c>
      <c r="N64" s="459" t="n">
        <f aca="false">M64+'Pipeline Co IS'!K55+'Pipeline Co CF'!M49</f>
        <v>276356.067909506</v>
      </c>
      <c r="O64" s="459" t="n">
        <f aca="false">N64+'Pipeline Co IS'!L55+'Pipeline Co CF'!N49</f>
        <v>358501.032844473</v>
      </c>
      <c r="P64" s="459" t="n">
        <f aca="false">O64+'Pipeline Co IS'!M55+'Pipeline Co CF'!O49</f>
        <v>446104.069398506</v>
      </c>
      <c r="Q64" s="459" t="n">
        <f aca="false">P64+'Pipeline Co IS'!N55+'Pipeline Co CF'!P49</f>
        <v>539130.990262188</v>
      </c>
      <c r="R64" s="459" t="n">
        <f aca="false">Q64+'Pipeline Co IS'!O55+'Pipeline Co CF'!Q49</f>
        <v>637546.39353391</v>
      </c>
      <c r="S64" s="459" t="n">
        <f aca="false">R64+'Pipeline Co IS'!P55+'Pipeline Co CF'!R49</f>
        <v>741313.628580098</v>
      </c>
      <c r="T64" s="459" t="n">
        <f aca="false">S64+'Pipeline Co IS'!Q55+'Pipeline Co CF'!S49</f>
        <v>850394.761012225</v>
      </c>
    </row>
    <row r="65" customFormat="false" ht="12.75" hidden="false" customHeight="false" outlineLevel="1" collapsed="false">
      <c r="A65" s="733" t="s">
        <v>426</v>
      </c>
      <c r="D65" s="508"/>
      <c r="E65" s="669" t="n">
        <v>0</v>
      </c>
      <c r="F65" s="669" t="n">
        <v>0</v>
      </c>
      <c r="G65" s="508"/>
      <c r="H65" s="18"/>
      <c r="I65" s="737"/>
    </row>
    <row r="66" customFormat="false" ht="12.75" hidden="false" customHeight="false" outlineLevel="1" collapsed="false">
      <c r="A66" s="733" t="s">
        <v>427</v>
      </c>
      <c r="D66" s="508"/>
      <c r="E66" s="669" t="n">
        <v>0</v>
      </c>
      <c r="F66" s="669" t="n">
        <v>0</v>
      </c>
      <c r="G66" s="508"/>
      <c r="H66" s="18"/>
      <c r="I66" s="737"/>
    </row>
    <row r="67" customFormat="false" ht="12.75" hidden="false" customHeight="false" outlineLevel="1" collapsed="false">
      <c r="A67" s="733" t="s">
        <v>428</v>
      </c>
      <c r="D67" s="508"/>
      <c r="E67" s="669" t="n">
        <v>0</v>
      </c>
      <c r="F67" s="669" t="n">
        <v>0</v>
      </c>
      <c r="G67" s="508"/>
      <c r="H67" s="18"/>
      <c r="I67" s="737"/>
    </row>
    <row r="68" customFormat="false" ht="12.75" hidden="false" customHeight="false" outlineLevel="1" collapsed="false">
      <c r="A68" s="733" t="s">
        <v>429</v>
      </c>
      <c r="D68" s="508"/>
      <c r="E68" s="669" t="n">
        <v>0</v>
      </c>
      <c r="F68" s="669" t="n">
        <v>0</v>
      </c>
      <c r="G68" s="508"/>
      <c r="H68" s="18"/>
      <c r="I68" s="737"/>
    </row>
    <row r="69" customFormat="false" ht="12.75" hidden="false" customHeight="false" outlineLevel="1" collapsed="false">
      <c r="A69" s="733" t="s">
        <v>430</v>
      </c>
      <c r="D69" s="508"/>
      <c r="E69" s="669" t="n">
        <v>0</v>
      </c>
      <c r="F69" s="669" t="n">
        <v>0</v>
      </c>
      <c r="G69" s="508"/>
      <c r="H69" s="18"/>
      <c r="I69" s="737"/>
    </row>
    <row r="70" customFormat="false" ht="12.75" hidden="false" customHeight="false" outlineLevel="1" collapsed="false">
      <c r="A70" s="733" t="s">
        <v>431</v>
      </c>
      <c r="D70" s="508"/>
      <c r="E70" s="669" t="n">
        <v>0</v>
      </c>
      <c r="F70" s="669" t="n">
        <v>0</v>
      </c>
      <c r="G70" s="508"/>
      <c r="H70" s="18"/>
      <c r="I70" s="737"/>
    </row>
    <row r="71" customFormat="false" ht="12.75" hidden="false" customHeight="false" outlineLevel="1" collapsed="false">
      <c r="A71" s="733" t="s">
        <v>432</v>
      </c>
      <c r="D71" s="508"/>
      <c r="E71" s="669" t="n">
        <v>0</v>
      </c>
      <c r="F71" s="669" t="n">
        <v>0</v>
      </c>
      <c r="G71" s="508"/>
      <c r="H71" s="18"/>
      <c r="I71" s="737"/>
    </row>
    <row r="72" customFormat="false" ht="12.75" hidden="false" customHeight="false" outlineLevel="0" collapsed="false">
      <c r="A72" s="740" t="s">
        <v>433</v>
      </c>
      <c r="D72" s="672"/>
      <c r="E72" s="672" t="n">
        <f aca="false">SUM(E62:E71)</f>
        <v>1128000</v>
      </c>
      <c r="F72" s="672" t="n">
        <f aca="false">SUM(F62:F71)</f>
        <v>1122000</v>
      </c>
      <c r="G72" s="672" t="n">
        <f aca="false">SUM(G62:G71)</f>
        <v>1281000</v>
      </c>
      <c r="H72" s="735"/>
      <c r="I72" s="736"/>
      <c r="J72" s="673" t="n">
        <f aca="false">SUM(J62:J71)</f>
        <v>1281000</v>
      </c>
      <c r="K72" s="673" t="n">
        <f aca="false">SUM(K62:K71)</f>
        <v>1340993.95</v>
      </c>
      <c r="L72" s="673" t="n">
        <f aca="false">SUM(L62:L71)</f>
        <v>1406571.228</v>
      </c>
      <c r="M72" s="673" t="n">
        <f aca="false">SUM(M62:M71)</f>
        <v>1477702.18058875</v>
      </c>
      <c r="N72" s="673" t="n">
        <f aca="false">SUM(N62:N71)</f>
        <v>1554356.06790951</v>
      </c>
      <c r="O72" s="673" t="n">
        <f aca="false">SUM(O62:O71)</f>
        <v>1636501.03284447</v>
      </c>
      <c r="P72" s="673" t="n">
        <f aca="false">SUM(P62:P71)</f>
        <v>1724104.06939851</v>
      </c>
      <c r="Q72" s="673" t="n">
        <f aca="false">SUM(Q62:Q71)</f>
        <v>1817130.99026219</v>
      </c>
      <c r="R72" s="673" t="n">
        <f aca="false">SUM(R62:R71)</f>
        <v>1915546.39353391</v>
      </c>
      <c r="S72" s="673" t="n">
        <f aca="false">SUM(S62:S71)</f>
        <v>2019313.6285801</v>
      </c>
      <c r="T72" s="673" t="n">
        <f aca="false">SUM(T62:T71)</f>
        <v>2128394.76101222</v>
      </c>
    </row>
    <row r="73" customFormat="false" ht="12.75" hidden="false" customHeight="false" outlineLevel="0" collapsed="false">
      <c r="D73" s="508"/>
      <c r="E73" s="508"/>
      <c r="F73" s="508"/>
      <c r="G73" s="508"/>
      <c r="H73" s="18"/>
      <c r="I73" s="737"/>
    </row>
    <row r="74" customFormat="false" ht="13.5" hidden="false" customHeight="false" outlineLevel="0" collapsed="false">
      <c r="A74" s="371" t="s">
        <v>434</v>
      </c>
      <c r="D74" s="742"/>
      <c r="E74" s="742" t="n">
        <f aca="false">E60+E72+E48</f>
        <v>2560000</v>
      </c>
      <c r="F74" s="742" t="n">
        <f aca="false">F60+F72+F48</f>
        <v>2806000</v>
      </c>
      <c r="G74" s="742" t="n">
        <f aca="false">G60+G72+G48</f>
        <v>3010000</v>
      </c>
      <c r="H74" s="744"/>
      <c r="I74" s="745"/>
      <c r="J74" s="746" t="n">
        <f aca="false">J48+J60+J72</f>
        <v>2950000</v>
      </c>
      <c r="K74" s="746" t="n">
        <f aca="false">K48+K60+K72</f>
        <v>2843200.61472603</v>
      </c>
      <c r="L74" s="746" t="n">
        <f aca="false">L48+L60+L72</f>
        <v>2788163.89820424</v>
      </c>
      <c r="M74" s="746" t="n">
        <f aca="false">M48+M60+M72</f>
        <v>2742152.61451505</v>
      </c>
      <c r="N74" s="746" t="n">
        <f aca="false">N48+N60+N72</f>
        <v>2705136.65410502</v>
      </c>
      <c r="O74" s="746" t="n">
        <f aca="false">O48+O60+O72</f>
        <v>2677084.80475575</v>
      </c>
      <c r="P74" s="746" t="n">
        <f aca="false">P48+P60+P72</f>
        <v>2657964.72032083</v>
      </c>
      <c r="Q74" s="746" t="n">
        <f aca="false">Q48+Q60+Q72</f>
        <v>2647742.88865089</v>
      </c>
      <c r="R74" s="746" t="n">
        <f aca="false">R48+R60+R72</f>
        <v>2646384.59868669</v>
      </c>
      <c r="S74" s="746" t="n">
        <f aca="false">S48+S60+S72</f>
        <v>2653853.90669937</v>
      </c>
      <c r="T74" s="746" t="n">
        <f aca="false">T48+T60+T72</f>
        <v>2670113.60165695</v>
      </c>
    </row>
    <row r="75" customFormat="false" ht="13.5" hidden="false" customHeight="false" outlineLevel="0" collapsed="false"/>
    <row r="76" customFormat="false" ht="12.75" hidden="false" customHeight="false" outlineLevel="1" collapsed="false">
      <c r="A76" s="0" t="s">
        <v>435</v>
      </c>
      <c r="D76" s="459" t="n">
        <f aca="false">D35-D74</f>
        <v>0</v>
      </c>
      <c r="E76" s="459" t="n">
        <f aca="false">E35-E74</f>
        <v>0</v>
      </c>
      <c r="F76" s="459" t="n">
        <f aca="false">F35-F74</f>
        <v>0</v>
      </c>
      <c r="G76" s="459" t="n">
        <f aca="false">G35-G74</f>
        <v>0</v>
      </c>
      <c r="H76" s="459" t="n">
        <f aca="false">H35-H74</f>
        <v>0</v>
      </c>
      <c r="I76" s="459" t="n">
        <f aca="false">I35-I74</f>
        <v>0</v>
      </c>
      <c r="J76" s="459" t="n">
        <f aca="false">J35-J74</f>
        <v>0</v>
      </c>
      <c r="K76" s="459" t="n">
        <f aca="false">K35-K74</f>
        <v>0</v>
      </c>
      <c r="L76" s="459" t="n">
        <f aca="false">L35-L74</f>
        <v>0</v>
      </c>
      <c r="M76" s="459" t="n">
        <f aca="false">M35-M74</f>
        <v>0</v>
      </c>
      <c r="N76" s="459" t="n">
        <f aca="false">N35-N74</f>
        <v>0</v>
      </c>
      <c r="O76" s="459" t="n">
        <f aca="false">O35-O74</f>
        <v>0</v>
      </c>
      <c r="P76" s="459" t="n">
        <f aca="false">P35-P74</f>
        <v>0</v>
      </c>
      <c r="Q76" s="459" t="n">
        <f aca="false">Q35-Q74</f>
        <v>0</v>
      </c>
      <c r="R76" s="459" t="n">
        <f aca="false">R35-R74</f>
        <v>0</v>
      </c>
      <c r="S76" s="459" t="n">
        <f aca="false">S35-S74</f>
        <v>0</v>
      </c>
      <c r="T76" s="459" t="n">
        <f aca="false">T35-T74</f>
        <v>0</v>
      </c>
    </row>
    <row r="79" customFormat="false" ht="15.75" hidden="false" customHeight="false" outlineLevel="0" collapsed="false">
      <c r="A79" s="497" t="s">
        <v>436</v>
      </c>
      <c r="B79" s="498"/>
      <c r="C79" s="131"/>
      <c r="D79" s="499"/>
      <c r="E79" s="499"/>
      <c r="F79" s="131"/>
      <c r="G79" s="500"/>
      <c r="H79" s="500"/>
      <c r="I79" s="500"/>
      <c r="J79" s="131"/>
      <c r="K79" s="131"/>
      <c r="L79" s="131"/>
      <c r="M79" s="131"/>
      <c r="N79" s="131"/>
      <c r="O79" s="131"/>
      <c r="P79" s="131"/>
      <c r="Q79" s="131"/>
      <c r="R79" s="131"/>
      <c r="S79" s="223"/>
      <c r="T79" s="223"/>
    </row>
    <row r="80" customFormat="false" ht="12.75" hidden="false" customHeight="false" outlineLevel="0" collapsed="false">
      <c r="D80" s="505"/>
      <c r="E80" s="505"/>
      <c r="F80" s="295"/>
      <c r="G80" s="306" t="s">
        <v>192</v>
      </c>
      <c r="H80" s="307"/>
      <c r="I80" s="295"/>
      <c r="J80" s="295"/>
      <c r="K80" s="176"/>
      <c r="L80" s="295"/>
      <c r="M80" s="176"/>
      <c r="N80" s="176"/>
      <c r="O80" s="176"/>
      <c r="P80" s="176"/>
      <c r="Q80" s="103"/>
      <c r="R80" s="103"/>
      <c r="S80" s="103"/>
      <c r="T80" s="103"/>
    </row>
    <row r="81" customFormat="false" ht="12.75" hidden="false" customHeight="false" outlineLevel="0" collapsed="false">
      <c r="D81" s="308" t="n">
        <v>1998</v>
      </c>
      <c r="E81" s="308" t="n">
        <v>1999</v>
      </c>
      <c r="F81" s="308" t="n">
        <v>2000</v>
      </c>
      <c r="G81" s="308" t="n">
        <v>2001</v>
      </c>
      <c r="H81" s="726"/>
      <c r="I81" s="726"/>
      <c r="J81" s="309" t="s">
        <v>372</v>
      </c>
      <c r="K81" s="309" t="n">
        <v>2002</v>
      </c>
      <c r="L81" s="309" t="n">
        <v>2003</v>
      </c>
      <c r="M81" s="309" t="n">
        <v>2004</v>
      </c>
      <c r="N81" s="309" t="n">
        <v>2005</v>
      </c>
      <c r="O81" s="309" t="n">
        <v>2006</v>
      </c>
      <c r="P81" s="310" t="n">
        <v>2007</v>
      </c>
      <c r="Q81" s="310" t="n">
        <v>2008</v>
      </c>
      <c r="R81" s="310" t="n">
        <v>2009</v>
      </c>
      <c r="S81" s="310" t="n">
        <v>2010</v>
      </c>
      <c r="T81" s="441" t="n">
        <v>2011</v>
      </c>
    </row>
    <row r="82" customFormat="false" ht="12.75" hidden="false" customHeight="false" outlineLevel="0" collapsed="false">
      <c r="D82" s="449"/>
      <c r="E82" s="449"/>
      <c r="F82" s="312" t="s">
        <v>193</v>
      </c>
      <c r="G82" s="308" t="n">
        <v>1</v>
      </c>
      <c r="H82" s="727"/>
      <c r="I82" s="728"/>
      <c r="J82" s="309" t="n">
        <v>1</v>
      </c>
      <c r="K82" s="309" t="n">
        <v>2</v>
      </c>
      <c r="L82" s="309" t="n">
        <v>3</v>
      </c>
      <c r="M82" s="309" t="n">
        <v>4</v>
      </c>
      <c r="N82" s="309" t="n">
        <v>5</v>
      </c>
      <c r="O82" s="309" t="n">
        <v>6</v>
      </c>
      <c r="P82" s="309" t="n">
        <v>7</v>
      </c>
      <c r="Q82" s="309" t="n">
        <v>8</v>
      </c>
      <c r="R82" s="309" t="n">
        <v>9</v>
      </c>
      <c r="S82" s="309" t="n">
        <v>10</v>
      </c>
      <c r="T82" s="387" t="n">
        <v>11</v>
      </c>
    </row>
    <row r="83" customFormat="false" ht="12.75" hidden="false" customHeight="false" outlineLevel="0" collapsed="false">
      <c r="A83" s="371" t="s">
        <v>112</v>
      </c>
      <c r="D83" s="449"/>
      <c r="E83" s="449"/>
      <c r="F83" s="312"/>
      <c r="G83" s="392"/>
      <c r="H83" s="270"/>
      <c r="I83" s="270"/>
      <c r="J83" s="393"/>
      <c r="K83" s="393"/>
      <c r="L83" s="393"/>
      <c r="M83" s="393"/>
      <c r="N83" s="393"/>
      <c r="O83" s="393"/>
      <c r="P83" s="393"/>
      <c r="Q83" s="393"/>
      <c r="R83" s="393"/>
      <c r="S83" s="393"/>
      <c r="T83" s="404"/>
    </row>
    <row r="84" customFormat="false" ht="12.75" hidden="false" customHeight="false" outlineLevel="0" collapsed="false">
      <c r="A84" s="0" t="s">
        <v>437</v>
      </c>
      <c r="J84" s="747"/>
      <c r="K84" s="692" t="n">
        <v>120</v>
      </c>
      <c r="L84" s="692" t="n">
        <v>120</v>
      </c>
      <c r="M84" s="692" t="n">
        <v>120</v>
      </c>
      <c r="N84" s="692" t="n">
        <v>120</v>
      </c>
      <c r="O84" s="692" t="n">
        <v>120</v>
      </c>
      <c r="P84" s="692" t="n">
        <v>120</v>
      </c>
      <c r="Q84" s="692" t="n">
        <v>120</v>
      </c>
      <c r="R84" s="692" t="n">
        <v>120</v>
      </c>
      <c r="S84" s="692" t="n">
        <v>120</v>
      </c>
      <c r="T84" s="692" t="n">
        <v>120</v>
      </c>
    </row>
    <row r="85" customFormat="false" ht="12.75" hidden="false" customHeight="false" outlineLevel="0" collapsed="false">
      <c r="A85" s="0" t="s">
        <v>438</v>
      </c>
      <c r="J85" s="747"/>
      <c r="K85" s="748" t="n">
        <v>0.4</v>
      </c>
      <c r="L85" s="748" t="n">
        <v>0.4</v>
      </c>
      <c r="M85" s="748" t="n">
        <v>0.4</v>
      </c>
      <c r="N85" s="748" t="n">
        <v>0.4</v>
      </c>
      <c r="O85" s="748" t="n">
        <v>0.4</v>
      </c>
      <c r="P85" s="748" t="n">
        <v>0.4</v>
      </c>
      <c r="Q85" s="748" t="n">
        <v>0.4</v>
      </c>
      <c r="R85" s="748" t="n">
        <v>0.4</v>
      </c>
      <c r="S85" s="748" t="n">
        <v>0.4</v>
      </c>
      <c r="T85" s="748" t="n">
        <v>0.4</v>
      </c>
    </row>
    <row r="86" customFormat="false" ht="12.75" hidden="false" customHeight="false" outlineLevel="0" collapsed="false">
      <c r="A86" s="0" t="s">
        <v>439</v>
      </c>
      <c r="J86" s="747"/>
      <c r="K86" s="692" t="n">
        <v>120</v>
      </c>
      <c r="L86" s="692" t="n">
        <v>120</v>
      </c>
      <c r="M86" s="692" t="n">
        <v>120</v>
      </c>
      <c r="N86" s="692" t="n">
        <v>120</v>
      </c>
      <c r="O86" s="692" t="n">
        <v>120</v>
      </c>
      <c r="P86" s="692" t="n">
        <v>120</v>
      </c>
      <c r="Q86" s="692" t="n">
        <v>120</v>
      </c>
      <c r="R86" s="692" t="n">
        <v>120</v>
      </c>
      <c r="S86" s="692" t="n">
        <v>120</v>
      </c>
      <c r="T86" s="692" t="n">
        <v>120</v>
      </c>
    </row>
    <row r="87" customFormat="false" ht="12.75" hidden="false" customHeight="false" outlineLevel="0" collapsed="false">
      <c r="A87" s="0" t="s">
        <v>440</v>
      </c>
      <c r="J87" s="747"/>
      <c r="K87" s="692" t="n">
        <v>45</v>
      </c>
      <c r="L87" s="692" t="n">
        <v>45</v>
      </c>
      <c r="M87" s="692" t="n">
        <v>45</v>
      </c>
      <c r="N87" s="692" t="n">
        <v>45</v>
      </c>
      <c r="O87" s="692" t="n">
        <v>45</v>
      </c>
      <c r="P87" s="692" t="n">
        <v>45</v>
      </c>
      <c r="Q87" s="692" t="n">
        <v>45</v>
      </c>
      <c r="R87" s="692" t="n">
        <v>45</v>
      </c>
      <c r="S87" s="692" t="n">
        <v>45</v>
      </c>
      <c r="T87" s="692" t="n">
        <v>45</v>
      </c>
    </row>
    <row r="88" customFormat="false" ht="12.75" hidden="false" customHeight="false" outlineLevel="0" collapsed="false">
      <c r="A88" s="371" t="s">
        <v>441</v>
      </c>
      <c r="D88" s="449"/>
      <c r="E88" s="449"/>
      <c r="F88" s="449"/>
      <c r="G88" s="449"/>
      <c r="H88" s="449"/>
      <c r="I88" s="449"/>
      <c r="J88" s="747"/>
      <c r="K88" s="747"/>
      <c r="L88" s="747"/>
      <c r="M88" s="747"/>
      <c r="N88" s="747"/>
      <c r="O88" s="747"/>
      <c r="P88" s="747"/>
      <c r="Q88" s="747"/>
      <c r="R88" s="747"/>
      <c r="S88" s="747"/>
      <c r="T88" s="747"/>
    </row>
    <row r="89" customFormat="false" ht="12.75" hidden="false" customHeight="false" outlineLevel="0" collapsed="false">
      <c r="A89" s="0" t="s">
        <v>442</v>
      </c>
      <c r="J89" s="747"/>
      <c r="K89" s="692" t="n">
        <v>60</v>
      </c>
      <c r="L89" s="692" t="n">
        <v>60</v>
      </c>
      <c r="M89" s="692" t="n">
        <v>60</v>
      </c>
      <c r="N89" s="692" t="n">
        <v>60</v>
      </c>
      <c r="O89" s="692" t="n">
        <v>60</v>
      </c>
      <c r="P89" s="692" t="n">
        <v>60</v>
      </c>
      <c r="Q89" s="692" t="n">
        <v>60</v>
      </c>
      <c r="R89" s="692" t="n">
        <v>60</v>
      </c>
      <c r="S89" s="692" t="n">
        <v>60</v>
      </c>
      <c r="T89" s="692" t="n">
        <v>60</v>
      </c>
    </row>
    <row r="90" customFormat="false" ht="12.75" hidden="false" customHeight="false" outlineLevel="0" collapsed="false">
      <c r="A90" s="0" t="s">
        <v>443</v>
      </c>
      <c r="K90" s="748" t="n">
        <v>0.55</v>
      </c>
      <c r="L90" s="748" t="n">
        <v>0.55</v>
      </c>
      <c r="M90" s="748" t="n">
        <v>0.55</v>
      </c>
      <c r="N90" s="748" t="n">
        <v>0.55</v>
      </c>
      <c r="O90" s="748" t="n">
        <v>0.55</v>
      </c>
      <c r="P90" s="748" t="n">
        <v>0.55</v>
      </c>
      <c r="Q90" s="748" t="n">
        <v>0.55</v>
      </c>
      <c r="R90" s="748" t="n">
        <v>0.55</v>
      </c>
      <c r="S90" s="748" t="n">
        <v>0.55</v>
      </c>
      <c r="T90" s="748" t="n">
        <v>0.55</v>
      </c>
    </row>
    <row r="91" customFormat="false" ht="12.75" hidden="false" customHeight="false" outlineLevel="0" collapsed="false">
      <c r="A91" s="0" t="s">
        <v>444</v>
      </c>
      <c r="K91" s="692" t="n">
        <v>120</v>
      </c>
      <c r="L91" s="692" t="n">
        <v>120</v>
      </c>
      <c r="M91" s="692" t="n">
        <v>120</v>
      </c>
      <c r="N91" s="692" t="n">
        <v>120</v>
      </c>
      <c r="O91" s="692" t="n">
        <v>120</v>
      </c>
      <c r="P91" s="692" t="n">
        <v>120</v>
      </c>
      <c r="Q91" s="692" t="n">
        <v>120</v>
      </c>
      <c r="R91" s="692" t="n">
        <v>120</v>
      </c>
      <c r="S91" s="692" t="n">
        <v>120</v>
      </c>
      <c r="T91" s="692" t="n">
        <v>120</v>
      </c>
    </row>
    <row r="93" customFormat="false" ht="12.75" hidden="false" customHeight="false" outlineLevel="0" collapsed="false">
      <c r="D93" s="505"/>
      <c r="E93" s="505"/>
      <c r="F93" s="295"/>
      <c r="G93" s="306" t="s">
        <v>192</v>
      </c>
      <c r="H93" s="307"/>
      <c r="I93" s="295"/>
      <c r="J93" s="295"/>
      <c r="K93" s="176"/>
      <c r="L93" s="295"/>
      <c r="M93" s="176"/>
      <c r="N93" s="176"/>
      <c r="O93" s="176"/>
      <c r="P93" s="176"/>
      <c r="Q93" s="103"/>
      <c r="R93" s="103"/>
      <c r="S93" s="103"/>
      <c r="T93" s="103"/>
    </row>
    <row r="94" customFormat="false" ht="12.75" hidden="false" customHeight="false" outlineLevel="0" collapsed="false">
      <c r="D94" s="308" t="n">
        <v>1998</v>
      </c>
      <c r="E94" s="308" t="n">
        <v>1999</v>
      </c>
      <c r="F94" s="308" t="n">
        <v>2000</v>
      </c>
      <c r="G94" s="308" t="n">
        <v>2001</v>
      </c>
      <c r="H94" s="726"/>
      <c r="I94" s="726"/>
      <c r="J94" s="309" t="s">
        <v>372</v>
      </c>
      <c r="K94" s="309" t="n">
        <v>2002</v>
      </c>
      <c r="L94" s="309" t="n">
        <v>2003</v>
      </c>
      <c r="M94" s="309" t="n">
        <v>2004</v>
      </c>
      <c r="N94" s="309" t="n">
        <v>2005</v>
      </c>
      <c r="O94" s="309" t="n">
        <v>2006</v>
      </c>
      <c r="P94" s="310" t="n">
        <v>2007</v>
      </c>
      <c r="Q94" s="310" t="n">
        <v>2008</v>
      </c>
      <c r="R94" s="310" t="n">
        <v>2009</v>
      </c>
      <c r="S94" s="310" t="n">
        <v>2010</v>
      </c>
      <c r="T94" s="441" t="n">
        <v>2011</v>
      </c>
    </row>
    <row r="95" customFormat="false" ht="12.75" hidden="false" customHeight="false" outlineLevel="0" collapsed="false">
      <c r="D95" s="449"/>
      <c r="E95" s="449"/>
      <c r="F95" s="312" t="s">
        <v>193</v>
      </c>
      <c r="G95" s="308" t="n">
        <v>1</v>
      </c>
      <c r="H95" s="727"/>
      <c r="I95" s="728"/>
      <c r="J95" s="309" t="n">
        <v>1</v>
      </c>
      <c r="K95" s="309" t="n">
        <v>2</v>
      </c>
      <c r="L95" s="309" t="n">
        <v>3</v>
      </c>
      <c r="M95" s="309" t="n">
        <v>4</v>
      </c>
      <c r="N95" s="309" t="n">
        <v>5</v>
      </c>
      <c r="O95" s="309" t="n">
        <v>6</v>
      </c>
      <c r="P95" s="309" t="n">
        <v>7</v>
      </c>
      <c r="Q95" s="309" t="n">
        <v>8</v>
      </c>
      <c r="R95" s="309" t="n">
        <v>9</v>
      </c>
      <c r="S95" s="309" t="n">
        <v>10</v>
      </c>
      <c r="T95" s="387" t="n">
        <v>11</v>
      </c>
    </row>
    <row r="96" customFormat="false" ht="12.75" hidden="false" customHeight="false" outlineLevel="0" collapsed="false">
      <c r="A96" s="371" t="s">
        <v>445</v>
      </c>
    </row>
    <row r="97" customFormat="false" ht="12.75" hidden="false" customHeight="false" outlineLevel="0" collapsed="false">
      <c r="A97" s="0" t="s">
        <v>141</v>
      </c>
      <c r="B97" s="692" t="n">
        <v>10</v>
      </c>
      <c r="D97" s="508"/>
      <c r="E97" s="508"/>
      <c r="F97" s="508"/>
      <c r="G97" s="508"/>
    </row>
    <row r="98" customFormat="false" ht="12.75" hidden="false" customHeight="false" outlineLevel="0" collapsed="false">
      <c r="A98" s="0" t="s">
        <v>110</v>
      </c>
      <c r="B98" s="207" t="n">
        <v>0.075</v>
      </c>
      <c r="D98" s="508"/>
      <c r="E98" s="508"/>
      <c r="F98" s="508"/>
      <c r="G98" s="508"/>
    </row>
    <row r="99" customFormat="false" ht="12.75" hidden="false" customHeight="false" outlineLevel="0" collapsed="false">
      <c r="A99" s="407" t="s">
        <v>211</v>
      </c>
      <c r="D99" s="508"/>
      <c r="E99" s="508"/>
      <c r="F99" s="508"/>
      <c r="G99" s="508"/>
      <c r="K99" s="459" t="n">
        <f aca="false">J101</f>
        <v>1192000</v>
      </c>
      <c r="L99" s="459" t="n">
        <f aca="false">K101</f>
        <v>1072800</v>
      </c>
      <c r="M99" s="459" t="n">
        <f aca="false">L101</f>
        <v>953600</v>
      </c>
      <c r="N99" s="459" t="n">
        <f aca="false">M101</f>
        <v>834400</v>
      </c>
      <c r="O99" s="459" t="n">
        <f aca="false">N101</f>
        <v>715200</v>
      </c>
      <c r="P99" s="459" t="n">
        <f aca="false">O101</f>
        <v>596000</v>
      </c>
      <c r="Q99" s="459" t="n">
        <f aca="false">P101</f>
        <v>476800</v>
      </c>
      <c r="R99" s="459" t="n">
        <f aca="false">Q101</f>
        <v>357600</v>
      </c>
      <c r="S99" s="459" t="n">
        <f aca="false">R101</f>
        <v>238400</v>
      </c>
      <c r="T99" s="459" t="n">
        <f aca="false">S101</f>
        <v>119200</v>
      </c>
      <c r="U99" s="566"/>
      <c r="V99" s="566"/>
      <c r="W99" s="566"/>
      <c r="X99" s="566"/>
      <c r="Y99" s="566"/>
      <c r="Z99" s="566"/>
      <c r="AA99" s="17"/>
    </row>
    <row r="100" customFormat="false" ht="12.75" hidden="false" customHeight="false" outlineLevel="0" collapsed="false">
      <c r="A100" s="407" t="s">
        <v>212</v>
      </c>
      <c r="D100" s="508"/>
      <c r="E100" s="508"/>
      <c r="F100" s="508"/>
      <c r="G100" s="508"/>
      <c r="K100" s="459" t="n">
        <f aca="false">IF(K99&gt;0,$J$101/$B$97,0)</f>
        <v>119200</v>
      </c>
      <c r="L100" s="459" t="n">
        <f aca="false">IF(L99&gt;0,$J$101/$B$97,0)</f>
        <v>119200</v>
      </c>
      <c r="M100" s="459" t="n">
        <f aca="false">IF(M99&gt;0,$J$101/$B$97,0)</f>
        <v>119200</v>
      </c>
      <c r="N100" s="459" t="n">
        <f aca="false">IF(N99&gt;0,$J$101/$B$97,0)</f>
        <v>119200</v>
      </c>
      <c r="O100" s="459" t="n">
        <f aca="false">IF(O99&gt;0,$J$101/$B$97,0)</f>
        <v>119200</v>
      </c>
      <c r="P100" s="459" t="n">
        <f aca="false">IF(P99&gt;0,$J$101/$B$97,0)</f>
        <v>119200</v>
      </c>
      <c r="Q100" s="459" t="n">
        <f aca="false">IF(Q99&gt;0,$J$101/$B$97,0)</f>
        <v>119200</v>
      </c>
      <c r="R100" s="459" t="n">
        <f aca="false">IF(R99&gt;0,$J$101/$B$97,0)</f>
        <v>119200</v>
      </c>
      <c r="S100" s="459" t="n">
        <f aca="false">IF(S99&gt;0,$J$101/$B$97,0)</f>
        <v>119200</v>
      </c>
      <c r="T100" s="459" t="n">
        <f aca="false">IF(T99&gt;0,$J$101/$B$97,0)</f>
        <v>119200</v>
      </c>
      <c r="U100" s="566"/>
      <c r="V100" s="566"/>
      <c r="W100" s="566"/>
      <c r="X100" s="566"/>
      <c r="Y100" s="566"/>
      <c r="Z100" s="566"/>
      <c r="AA100" s="17"/>
    </row>
    <row r="101" customFormat="false" ht="13.5" hidden="false" customHeight="false" outlineLevel="0" collapsed="false">
      <c r="A101" s="407" t="s">
        <v>213</v>
      </c>
      <c r="D101" s="749"/>
      <c r="E101" s="750" t="n">
        <v>1094000</v>
      </c>
      <c r="F101" s="750" t="n">
        <v>1193000</v>
      </c>
      <c r="G101" s="750" t="n">
        <v>1192000</v>
      </c>
      <c r="H101" s="751"/>
      <c r="I101" s="751"/>
      <c r="J101" s="752" t="n">
        <f aca="false">G101+H101+I101</f>
        <v>1192000</v>
      </c>
      <c r="K101" s="752" t="n">
        <f aca="false">K99-K100</f>
        <v>1072800</v>
      </c>
      <c r="L101" s="752" t="n">
        <f aca="false">L99-L100</f>
        <v>953600</v>
      </c>
      <c r="M101" s="752" t="n">
        <f aca="false">M99-M100</f>
        <v>834400</v>
      </c>
      <c r="N101" s="752" t="n">
        <f aca="false">N99-N100</f>
        <v>715200</v>
      </c>
      <c r="O101" s="752" t="n">
        <f aca="false">O99-O100</f>
        <v>596000</v>
      </c>
      <c r="P101" s="752" t="n">
        <f aca="false">P99-P100</f>
        <v>476800</v>
      </c>
      <c r="Q101" s="752" t="n">
        <f aca="false">Q99-Q100</f>
        <v>357600</v>
      </c>
      <c r="R101" s="752" t="n">
        <f aca="false">R99-R100</f>
        <v>238400</v>
      </c>
      <c r="S101" s="752" t="n">
        <f aca="false">S99-S100</f>
        <v>119200</v>
      </c>
      <c r="T101" s="752" t="n">
        <f aca="false">T99-T100</f>
        <v>0</v>
      </c>
      <c r="U101" s="753"/>
      <c r="V101" s="753"/>
      <c r="W101" s="753"/>
      <c r="X101" s="753"/>
      <c r="Y101" s="753"/>
      <c r="Z101" s="753"/>
      <c r="AA101" s="17"/>
    </row>
    <row r="102" customFormat="false" ht="13.5" hidden="false" customHeight="false" outlineLevel="0" collapsed="false">
      <c r="A102" s="407" t="s">
        <v>217</v>
      </c>
      <c r="D102" s="508"/>
      <c r="E102" s="508"/>
      <c r="F102" s="508"/>
      <c r="G102" s="508"/>
      <c r="K102" s="459" t="n">
        <f aca="false">K99*$B$98</f>
        <v>89400</v>
      </c>
      <c r="L102" s="459" t="n">
        <f aca="false">L99*$B$98</f>
        <v>80460</v>
      </c>
      <c r="M102" s="459" t="n">
        <f aca="false">M99*$B$98</f>
        <v>71520</v>
      </c>
      <c r="N102" s="459" t="n">
        <f aca="false">N99*$B$98</f>
        <v>62580</v>
      </c>
      <c r="O102" s="459" t="n">
        <f aca="false">O99*$B$98</f>
        <v>53640</v>
      </c>
      <c r="P102" s="459" t="n">
        <f aca="false">P99*$B$98</f>
        <v>44700</v>
      </c>
      <c r="Q102" s="459" t="n">
        <f aca="false">Q99*$B$98</f>
        <v>35760</v>
      </c>
      <c r="R102" s="459" t="n">
        <f aca="false">R99*$B$98</f>
        <v>26820</v>
      </c>
      <c r="S102" s="459" t="n">
        <f aca="false">S99*$B$98</f>
        <v>17880</v>
      </c>
      <c r="T102" s="459" t="n">
        <f aca="false">T99*$B$98</f>
        <v>8940</v>
      </c>
      <c r="U102" s="17"/>
      <c r="V102" s="17"/>
      <c r="W102" s="17"/>
      <c r="X102" s="17"/>
      <c r="Y102" s="17"/>
      <c r="Z102" s="17"/>
      <c r="AA102" s="17"/>
    </row>
  </sheetData>
  <mergeCells count="3">
    <mergeCell ref="H8:I8"/>
    <mergeCell ref="H81:I81"/>
    <mergeCell ref="H94:I94"/>
  </mergeCells>
  <printOptions headings="false" gridLines="false" gridLinesSet="true" horizontalCentered="false" verticalCentered="false"/>
  <pageMargins left="0.170138888888889" right="0.170138888888889" top="0.770138888888889" bottom="0.3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75"/>
  <sheetViews>
    <sheetView showFormulas="false" showGridLines="false" showRowColHeaders="true" showZeros="true" rightToLeft="false" tabSelected="false" showOutlineSymbols="true" defaultGridColor="true" view="normal" topLeftCell="A50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43.85"/>
    <col collapsed="false" customWidth="true" hidden="false" outlineLevel="0" max="2" min="2" style="0" width="2.28"/>
    <col collapsed="false" customWidth="true" hidden="false" outlineLevel="0" max="3" min="3" style="0" width="2.7"/>
    <col collapsed="false" customWidth="true" hidden="false" outlineLevel="0" max="4" min="4" style="0" width="13.41"/>
    <col collapsed="false" customWidth="true" hidden="false" outlineLevel="0" max="5" min="5" style="0" width="14.85"/>
    <col collapsed="false" customWidth="true" hidden="false" outlineLevel="0" max="6" min="6" style="0" width="14.56"/>
    <col collapsed="false" customWidth="true" hidden="false" outlineLevel="0" max="7" min="7" style="0" width="13.7"/>
    <col collapsed="false" customWidth="true" hidden="false" outlineLevel="0" max="8" min="8" style="0" width="14.85"/>
    <col collapsed="false" customWidth="true" hidden="false" outlineLevel="0" max="9" min="9" style="0" width="13.41"/>
    <col collapsed="false" customWidth="true" hidden="false" outlineLevel="0" max="10" min="10" style="0" width="12.28"/>
    <col collapsed="false" customWidth="true" hidden="false" outlineLevel="0" max="11" min="11" style="0" width="11.99"/>
    <col collapsed="false" customWidth="true" hidden="false" outlineLevel="0" max="13" min="12" style="0" width="12.28"/>
    <col collapsed="false" customWidth="true" hidden="false" outlineLevel="0" max="14" min="14" style="0" width="11.99"/>
    <col collapsed="false" customWidth="true" hidden="false" outlineLevel="0" max="15" min="15" style="0" width="13.14"/>
    <col collapsed="false" customWidth="true" hidden="false" outlineLevel="0" max="19" min="16" style="0" width="13.41"/>
  </cols>
  <sheetData>
    <row r="1" customFormat="false" ht="20.25" hidden="false" customHeight="false" outlineLevel="0" collapsed="false">
      <c r="A1" s="606" t="str">
        <f aca="false">"Project "&amp;Assumptions!D7</f>
        <v>Project Wolverine</v>
      </c>
      <c r="B1" s="17"/>
      <c r="C1" s="17"/>
      <c r="D1" s="17"/>
      <c r="F1" s="665" t="s">
        <v>62</v>
      </c>
      <c r="G1" s="607"/>
      <c r="H1" s="666"/>
      <c r="I1" s="666"/>
      <c r="J1" s="608"/>
    </row>
    <row r="2" customFormat="false" ht="15.75" hidden="false" customHeight="false" outlineLevel="0" collapsed="false">
      <c r="A2" s="609" t="str">
        <f aca="false">'Org Chart'!B5</f>
        <v>Panhandle Eastern</v>
      </c>
      <c r="B2" s="610"/>
      <c r="C2" s="17"/>
      <c r="D2" s="17"/>
      <c r="F2" s="612"/>
      <c r="G2" s="138"/>
      <c r="H2" s="138"/>
      <c r="I2" s="138"/>
      <c r="J2" s="19"/>
    </row>
    <row r="3" customFormat="false" ht="16.5" hidden="false" customHeight="false" outlineLevel="0" collapsed="false">
      <c r="A3" s="614" t="s">
        <v>446</v>
      </c>
      <c r="B3" s="610"/>
      <c r="C3" s="17"/>
      <c r="D3" s="17"/>
      <c r="F3" s="612"/>
      <c r="G3" s="17"/>
      <c r="H3" s="138"/>
      <c r="I3" s="138"/>
      <c r="J3" s="19"/>
    </row>
    <row r="4" customFormat="false" ht="13.5" hidden="false" customHeight="false" outlineLevel="0" collapsed="false">
      <c r="F4" s="616"/>
      <c r="G4" s="617"/>
      <c r="H4" s="617"/>
      <c r="I4" s="617"/>
      <c r="J4" s="30"/>
    </row>
    <row r="5" customFormat="false" ht="12.75" hidden="false" customHeight="false" outlineLevel="0" collapsed="false">
      <c r="F5" s="83"/>
      <c r="G5" s="138"/>
      <c r="H5" s="138"/>
      <c r="I5" s="138"/>
      <c r="J5" s="17"/>
    </row>
    <row r="6" customFormat="false" ht="15.75" hidden="false" customHeight="false" outlineLevel="0" collapsed="false">
      <c r="A6" s="497" t="s">
        <v>447</v>
      </c>
      <c r="B6" s="498"/>
      <c r="C6" s="131"/>
      <c r="D6" s="499"/>
      <c r="E6" s="499"/>
      <c r="F6" s="131"/>
      <c r="G6" s="500"/>
      <c r="H6" s="500"/>
      <c r="I6" s="500"/>
      <c r="J6" s="131"/>
      <c r="K6" s="131"/>
      <c r="L6" s="131"/>
      <c r="M6" s="131"/>
      <c r="N6" s="131"/>
      <c r="O6" s="131"/>
      <c r="P6" s="131"/>
      <c r="Q6" s="131"/>
      <c r="R6" s="131"/>
      <c r="S6" s="754"/>
      <c r="T6" s="83"/>
    </row>
    <row r="7" customFormat="false" ht="12.75" hidden="false" customHeight="false" outlineLevel="0" collapsed="false">
      <c r="D7" s="505"/>
      <c r="E7" s="505"/>
      <c r="F7" s="295"/>
      <c r="G7" s="306" t="s">
        <v>192</v>
      </c>
      <c r="H7" s="307"/>
      <c r="I7" s="295"/>
      <c r="J7" s="295"/>
      <c r="K7" s="176"/>
      <c r="L7" s="295"/>
      <c r="M7" s="176"/>
      <c r="N7" s="176"/>
      <c r="O7" s="176"/>
      <c r="P7" s="176"/>
      <c r="Q7" s="103"/>
      <c r="R7" s="103"/>
      <c r="S7" s="505"/>
      <c r="T7" s="83"/>
    </row>
    <row r="8" customFormat="false" ht="12.75" hidden="false" customHeight="false" outlineLevel="0" collapsed="false">
      <c r="D8" s="308" t="n">
        <v>1998</v>
      </c>
      <c r="E8" s="308" t="n">
        <v>1999</v>
      </c>
      <c r="F8" s="308" t="n">
        <v>2000</v>
      </c>
      <c r="G8" s="308" t="n">
        <v>2001</v>
      </c>
      <c r="H8" s="726" t="s">
        <v>448</v>
      </c>
      <c r="I8" s="309" t="s">
        <v>372</v>
      </c>
      <c r="J8" s="309" t="n">
        <v>2002</v>
      </c>
      <c r="K8" s="309" t="n">
        <v>2003</v>
      </c>
      <c r="L8" s="309" t="n">
        <v>2004</v>
      </c>
      <c r="M8" s="309" t="n">
        <v>2005</v>
      </c>
      <c r="N8" s="309" t="n">
        <v>2006</v>
      </c>
      <c r="O8" s="310" t="n">
        <v>2007</v>
      </c>
      <c r="P8" s="310" t="n">
        <v>2008</v>
      </c>
      <c r="Q8" s="310" t="n">
        <v>2009</v>
      </c>
      <c r="R8" s="310" t="n">
        <v>2010</v>
      </c>
      <c r="S8" s="441" t="n">
        <v>2011</v>
      </c>
      <c r="T8" s="83"/>
    </row>
    <row r="9" customFormat="false" ht="12.75" hidden="false" customHeight="false" outlineLevel="0" collapsed="false">
      <c r="D9" s="449"/>
      <c r="E9" s="449"/>
      <c r="F9" s="312" t="s">
        <v>193</v>
      </c>
      <c r="G9" s="308" t="n">
        <v>1</v>
      </c>
      <c r="H9" s="755" t="s">
        <v>449</v>
      </c>
      <c r="I9" s="309" t="n">
        <v>1</v>
      </c>
      <c r="J9" s="309" t="n">
        <v>2</v>
      </c>
      <c r="K9" s="309" t="n">
        <v>3</v>
      </c>
      <c r="L9" s="309" t="n">
        <v>4</v>
      </c>
      <c r="M9" s="309" t="n">
        <v>5</v>
      </c>
      <c r="N9" s="309" t="n">
        <v>6</v>
      </c>
      <c r="O9" s="309" t="n">
        <v>7</v>
      </c>
      <c r="P9" s="309" t="n">
        <v>8</v>
      </c>
      <c r="Q9" s="309" t="n">
        <v>9</v>
      </c>
      <c r="R9" s="309" t="n">
        <v>10</v>
      </c>
      <c r="S9" s="387" t="n">
        <v>11</v>
      </c>
      <c r="T9" s="83"/>
    </row>
    <row r="10" customFormat="false" ht="12.75" hidden="false" customHeight="false" outlineLevel="0" collapsed="false">
      <c r="A10" s="371" t="s">
        <v>450</v>
      </c>
      <c r="D10" s="508"/>
      <c r="E10" s="508"/>
      <c r="F10" s="667"/>
      <c r="G10" s="668"/>
      <c r="H10" s="729"/>
      <c r="K10" s="393"/>
      <c r="L10" s="393"/>
      <c r="M10" s="393"/>
      <c r="N10" s="393"/>
      <c r="O10" s="393"/>
      <c r="P10" s="393"/>
      <c r="Q10" s="393"/>
      <c r="R10" s="393"/>
      <c r="S10" s="393"/>
      <c r="T10" s="404"/>
    </row>
    <row r="11" customFormat="false" ht="12.75" hidden="false" customHeight="false" outlineLevel="0" collapsed="false">
      <c r="A11" s="730" t="s">
        <v>451</v>
      </c>
      <c r="D11" s="669" t="n">
        <v>91000</v>
      </c>
      <c r="E11" s="669" t="n">
        <v>74000</v>
      </c>
      <c r="F11" s="669" t="n">
        <v>64000</v>
      </c>
      <c r="G11" s="670" t="n">
        <f aca="false">'Pipeline Co IS'!G55</f>
        <v>104000</v>
      </c>
      <c r="H11" s="731" t="n">
        <v>0</v>
      </c>
      <c r="I11" s="459" t="n">
        <f aca="false">G11+H11</f>
        <v>104000</v>
      </c>
      <c r="J11" s="671" t="n">
        <f aca="false">'Pipeline Co IS'!H55</f>
        <v>125993.95</v>
      </c>
      <c r="K11" s="671" t="n">
        <f aca="false">'Pipeline Co IS'!I55</f>
        <v>131577.278</v>
      </c>
      <c r="L11" s="671" t="n">
        <f aca="false">'Pipeline Co IS'!J55</f>
        <v>137130.95258875</v>
      </c>
      <c r="M11" s="671" t="n">
        <f aca="false">'Pipeline Co IS'!K55</f>
        <v>142653.887320756</v>
      </c>
      <c r="N11" s="671" t="n">
        <f aca="false">'Pipeline Co IS'!L55</f>
        <v>148144.964934967</v>
      </c>
      <c r="O11" s="671" t="n">
        <f aca="false">'Pipeline Co IS'!M55</f>
        <v>153603.036554033</v>
      </c>
      <c r="P11" s="671" t="n">
        <f aca="false">'Pipeline Co IS'!N55</f>
        <v>159026.920863682</v>
      </c>
      <c r="Q11" s="671" t="n">
        <f aca="false">'Pipeline Co IS'!O55</f>
        <v>164415.403271722</v>
      </c>
      <c r="R11" s="671" t="n">
        <f aca="false">'Pipeline Co IS'!P55</f>
        <v>169767.235046188</v>
      </c>
      <c r="S11" s="671" t="n">
        <f aca="false">'Pipeline Co IS'!Q55</f>
        <v>175081.132432127</v>
      </c>
      <c r="T11" s="83"/>
    </row>
    <row r="12" customFormat="false" ht="12.75" hidden="false" customHeight="false" outlineLevel="0" collapsed="false">
      <c r="A12" s="732" t="s">
        <v>452</v>
      </c>
      <c r="D12" s="669" t="n">
        <v>61000</v>
      </c>
      <c r="E12" s="669" t="n">
        <v>58000</v>
      </c>
      <c r="F12" s="669" t="n">
        <v>65000</v>
      </c>
      <c r="G12" s="670" t="n">
        <f aca="false">'Pipeline Co IS'!G35</f>
        <v>66000</v>
      </c>
      <c r="H12" s="731" t="n">
        <v>0</v>
      </c>
      <c r="I12" s="459" t="n">
        <f aca="false">G12+H12</f>
        <v>66000</v>
      </c>
      <c r="J12" s="459" t="n">
        <f aca="false">'Pipeline Co IS'!H35</f>
        <v>58440</v>
      </c>
      <c r="K12" s="459" t="n">
        <f aca="false">'Pipeline Co IS'!I35</f>
        <v>59970.15</v>
      </c>
      <c r="L12" s="459" t="n">
        <f aca="false">'Pipeline Co IS'!J35</f>
        <v>61515.6015</v>
      </c>
      <c r="M12" s="459" t="n">
        <f aca="false">'Pipeline Co IS'!K35</f>
        <v>63076.507515</v>
      </c>
      <c r="N12" s="459" t="n">
        <f aca="false">'Pipeline Co IS'!L35</f>
        <v>64653.02259015</v>
      </c>
      <c r="O12" s="459" t="n">
        <f aca="false">'Pipeline Co IS'!M35</f>
        <v>66245.3028160515</v>
      </c>
      <c r="P12" s="459" t="n">
        <f aca="false">'Pipeline Co IS'!N35</f>
        <v>67853.505844212</v>
      </c>
      <c r="Q12" s="459" t="n">
        <f aca="false">'Pipeline Co IS'!O35</f>
        <v>69477.7909026541</v>
      </c>
      <c r="R12" s="459" t="n">
        <f aca="false">'Pipeline Co IS'!P35</f>
        <v>71118.3188116807</v>
      </c>
      <c r="S12" s="459" t="n">
        <f aca="false">'Pipeline Co IS'!Q35</f>
        <v>72775.2519997975</v>
      </c>
      <c r="T12" s="83"/>
    </row>
    <row r="13" customFormat="false" ht="12.75" hidden="false" customHeight="false" outlineLevel="0" collapsed="false">
      <c r="A13" s="0" t="s">
        <v>453</v>
      </c>
      <c r="D13" s="669" t="n">
        <v>17000</v>
      </c>
      <c r="E13" s="669" t="n">
        <v>34000</v>
      </c>
      <c r="F13" s="669" t="n">
        <v>87000</v>
      </c>
      <c r="G13" s="670" t="n">
        <v>0</v>
      </c>
      <c r="H13" s="731" t="n">
        <v>0</v>
      </c>
      <c r="I13" s="459" t="n">
        <f aca="false">G13+H13</f>
        <v>0</v>
      </c>
      <c r="J13" s="459" t="n">
        <f aca="false">'Pipeline Co IS'!H154</f>
        <v>-29412.075</v>
      </c>
      <c r="K13" s="459" t="n">
        <f aca="false">'Pipeline Co IS'!I154</f>
        <v>-3072.93534370061</v>
      </c>
      <c r="L13" s="459" t="n">
        <f aca="false">'Pipeline Co IS'!J154</f>
        <v>368.964656299417</v>
      </c>
      <c r="M13" s="459" t="n">
        <f aca="false">'Pipeline Co IS'!K154</f>
        <v>3810.86465629941</v>
      </c>
      <c r="N13" s="459" t="n">
        <f aca="false">'Pipeline Co IS'!L154</f>
        <v>7252.76465629941</v>
      </c>
      <c r="O13" s="459" t="n">
        <f aca="false">'Pipeline Co IS'!M154</f>
        <v>10694.6646562994</v>
      </c>
      <c r="P13" s="459" t="n">
        <f aca="false">'Pipeline Co IS'!N154</f>
        <v>14136.5646562994</v>
      </c>
      <c r="Q13" s="459" t="n">
        <f aca="false">'Pipeline Co IS'!O154</f>
        <v>17578.4646562994</v>
      </c>
      <c r="R13" s="459" t="n">
        <f aca="false">'Pipeline Co IS'!P154</f>
        <v>21020.3646562994</v>
      </c>
      <c r="S13" s="459" t="n">
        <f aca="false">'Pipeline Co IS'!Q154</f>
        <v>24462.2646562994</v>
      </c>
      <c r="T13" s="83"/>
    </row>
    <row r="14" customFormat="false" ht="12.75" hidden="false" customHeight="false" outlineLevel="0" collapsed="false">
      <c r="A14" s="0" t="s">
        <v>454</v>
      </c>
      <c r="D14" s="669" t="n">
        <v>1000</v>
      </c>
      <c r="E14" s="669" t="n">
        <v>12000</v>
      </c>
      <c r="F14" s="669" t="n">
        <v>-7000</v>
      </c>
      <c r="G14" s="670" t="n">
        <v>0</v>
      </c>
      <c r="H14" s="756" t="n">
        <f aca="false">SUM('Pipeline Co BS'!I40:I42)</f>
        <v>-60000</v>
      </c>
      <c r="I14" s="459" t="n">
        <f aca="false">G14+H14</f>
        <v>-60000</v>
      </c>
      <c r="J14" s="459" t="n">
        <f aca="false">SUM('Pipeline Co BS'!K40:K42)-SUM('Pipeline Co BS'!J40:J42)</f>
        <v>0</v>
      </c>
      <c r="K14" s="459" t="n">
        <f aca="false">SUM('Pipeline Co BS'!L40:L42)-SUM('Pipeline Co BS'!K40:K42)</f>
        <v>0</v>
      </c>
      <c r="L14" s="459" t="n">
        <f aca="false">SUM('Pipeline Co BS'!M40:M42)-SUM('Pipeline Co BS'!L40:L42)</f>
        <v>0</v>
      </c>
      <c r="M14" s="459" t="n">
        <f aca="false">SUM('Pipeline Co BS'!N40:N42)-SUM('Pipeline Co BS'!M40:M42)</f>
        <v>0</v>
      </c>
      <c r="N14" s="459" t="n">
        <f aca="false">SUM('Pipeline Co BS'!O40:O42)-SUM('Pipeline Co BS'!N40:N42)</f>
        <v>0</v>
      </c>
      <c r="O14" s="459" t="n">
        <f aca="false">SUM('Pipeline Co BS'!P40:P42)-SUM('Pipeline Co BS'!O40:O42)</f>
        <v>0</v>
      </c>
      <c r="P14" s="459" t="n">
        <f aca="false">SUM('Pipeline Co BS'!Q40:Q42)-SUM('Pipeline Co BS'!P40:P42)</f>
        <v>0</v>
      </c>
      <c r="Q14" s="459" t="n">
        <f aca="false">SUM('Pipeline Co BS'!R40:R42)-SUM('Pipeline Co BS'!Q40:Q42)</f>
        <v>0</v>
      </c>
      <c r="R14" s="459" t="n">
        <f aca="false">SUM('Pipeline Co BS'!S40:S42)-SUM('Pipeline Co BS'!R40:R42)</f>
        <v>0</v>
      </c>
      <c r="S14" s="459" t="n">
        <f aca="false">SUM('Pipeline Co BS'!T40:T42)-SUM('Pipeline Co BS'!S40:S42)</f>
        <v>0</v>
      </c>
      <c r="T14" s="83"/>
    </row>
    <row r="15" customFormat="false" ht="12.75" hidden="true" customHeight="false" outlineLevel="1" collapsed="false">
      <c r="A15" s="0" t="s">
        <v>455</v>
      </c>
      <c r="D15" s="669"/>
      <c r="E15" s="669"/>
      <c r="F15" s="669"/>
      <c r="G15" s="670"/>
      <c r="H15" s="731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S15" s="459"/>
      <c r="T15" s="83"/>
    </row>
    <row r="16" customFormat="false" ht="12.75" hidden="true" customHeight="false" outlineLevel="1" collapsed="false">
      <c r="A16" s="0" t="s">
        <v>456</v>
      </c>
      <c r="D16" s="669"/>
      <c r="E16" s="669"/>
      <c r="F16" s="669"/>
      <c r="G16" s="670"/>
      <c r="H16" s="731"/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83"/>
    </row>
    <row r="17" customFormat="false" ht="12.75" hidden="true" customHeight="false" outlineLevel="1" collapsed="false">
      <c r="A17" s="0" t="s">
        <v>457</v>
      </c>
      <c r="D17" s="669"/>
      <c r="E17" s="669"/>
      <c r="F17" s="669"/>
      <c r="G17" s="670"/>
      <c r="H17" s="731"/>
      <c r="I17" s="459"/>
      <c r="J17" s="459"/>
      <c r="K17" s="459"/>
      <c r="L17" s="459"/>
      <c r="M17" s="459"/>
      <c r="N17" s="459"/>
      <c r="O17" s="459"/>
      <c r="P17" s="459"/>
      <c r="Q17" s="459"/>
      <c r="R17" s="459"/>
      <c r="S17" s="459"/>
      <c r="T17" s="83"/>
    </row>
    <row r="18" customFormat="false" ht="12.75" hidden="true" customHeight="false" outlineLevel="1" collapsed="false">
      <c r="A18" s="0" t="s">
        <v>458</v>
      </c>
      <c r="D18" s="669"/>
      <c r="E18" s="669"/>
      <c r="F18" s="669"/>
      <c r="G18" s="670"/>
      <c r="H18" s="731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83"/>
    </row>
    <row r="19" customFormat="false" ht="12.75" hidden="true" customHeight="false" outlineLevel="1" collapsed="false">
      <c r="A19" s="0" t="s">
        <v>459</v>
      </c>
      <c r="D19" s="669"/>
      <c r="E19" s="669"/>
      <c r="F19" s="669"/>
      <c r="G19" s="670"/>
      <c r="H19" s="731"/>
      <c r="I19" s="459"/>
      <c r="J19" s="459"/>
      <c r="K19" s="459"/>
      <c r="L19" s="459"/>
      <c r="M19" s="459"/>
      <c r="N19" s="459"/>
      <c r="O19" s="459"/>
      <c r="P19" s="459"/>
      <c r="Q19" s="459"/>
      <c r="R19" s="459"/>
      <c r="S19" s="459"/>
      <c r="T19" s="83"/>
    </row>
    <row r="20" customFormat="false" ht="12.75" hidden="true" customHeight="false" outlineLevel="1" collapsed="false">
      <c r="A20" s="0" t="s">
        <v>460</v>
      </c>
      <c r="D20" s="669"/>
      <c r="E20" s="669"/>
      <c r="F20" s="669"/>
      <c r="G20" s="670"/>
      <c r="H20" s="731"/>
      <c r="I20" s="459"/>
      <c r="J20" s="459"/>
      <c r="K20" s="459"/>
      <c r="L20" s="459"/>
      <c r="M20" s="459"/>
      <c r="N20" s="459"/>
      <c r="O20" s="459"/>
      <c r="P20" s="459"/>
      <c r="Q20" s="459"/>
      <c r="R20" s="459"/>
      <c r="S20" s="459"/>
      <c r="T20" s="83"/>
    </row>
    <row r="21" customFormat="false" ht="12.75" hidden="false" customHeight="false" outlineLevel="0" collapsed="false">
      <c r="A21" s="757" t="s">
        <v>461</v>
      </c>
      <c r="D21" s="669"/>
      <c r="E21" s="669"/>
      <c r="F21" s="669"/>
      <c r="G21" s="670"/>
      <c r="H21" s="731"/>
      <c r="I21" s="459"/>
      <c r="J21" s="459"/>
      <c r="K21" s="459"/>
      <c r="L21" s="459"/>
      <c r="M21" s="459"/>
      <c r="N21" s="459"/>
      <c r="O21" s="459"/>
      <c r="P21" s="459"/>
      <c r="Q21" s="459"/>
      <c r="R21" s="459"/>
      <c r="S21" s="459"/>
      <c r="T21" s="83"/>
    </row>
    <row r="22" customFormat="false" ht="12.75" hidden="false" customHeight="false" outlineLevel="0" collapsed="false">
      <c r="A22" s="758" t="s">
        <v>462</v>
      </c>
      <c r="D22" s="669"/>
      <c r="E22" s="669"/>
      <c r="F22" s="669"/>
      <c r="G22" s="670"/>
      <c r="H22" s="731"/>
      <c r="I22" s="459"/>
      <c r="J22" s="459" t="n">
        <f aca="false">'Pipeline Co BS'!J12-'Pipeline Co BS'!K12</f>
        <v>-8750.13698630137</v>
      </c>
      <c r="K22" s="459" t="n">
        <f aca="false">'Pipeline Co BS'!K12-'Pipeline Co BS'!L12</f>
        <v>-2248.04383561644</v>
      </c>
      <c r="L22" s="459" t="n">
        <f aca="false">'Pipeline Co BS'!L12-'Pipeline Co BS'!M12</f>
        <v>-2280.75419178084</v>
      </c>
      <c r="M22" s="459" t="n">
        <f aca="false">'Pipeline Co BS'!M12-'Pipeline Co BS'!N12</f>
        <v>-2314.03282191782</v>
      </c>
      <c r="N22" s="459" t="n">
        <f aca="false">'Pipeline Co BS'!N12-'Pipeline Co BS'!O12</f>
        <v>-2347.89132933694</v>
      </c>
      <c r="O22" s="459" t="n">
        <f aca="false">'Pipeline Co BS'!O12-'Pipeline Co BS'!P12</f>
        <v>-2382.34158470729</v>
      </c>
      <c r="P22" s="459" t="n">
        <f aca="false">'Pipeline Co BS'!P12-'Pipeline Co BS'!Q12</f>
        <v>-2417.39573274457</v>
      </c>
      <c r="Q22" s="459" t="n">
        <f aca="false">'Pipeline Co BS'!Q12-'Pipeline Co BS'!R12</f>
        <v>-2453.0661990759</v>
      </c>
      <c r="R22" s="459" t="n">
        <f aca="false">'Pipeline Co BS'!R12-'Pipeline Co BS'!S12</f>
        <v>-2489.36569728554</v>
      </c>
      <c r="S22" s="459" t="n">
        <f aca="false">'Pipeline Co BS'!S12-'Pipeline Co BS'!T12</f>
        <v>-2526.30723614761</v>
      </c>
      <c r="T22" s="83"/>
    </row>
    <row r="23" customFormat="false" ht="12.75" hidden="false" customHeight="false" outlineLevel="0" collapsed="false">
      <c r="A23" s="758" t="s">
        <v>463</v>
      </c>
      <c r="D23" s="669"/>
      <c r="E23" s="669"/>
      <c r="F23" s="669"/>
      <c r="G23" s="670"/>
      <c r="H23" s="731"/>
      <c r="I23" s="459"/>
      <c r="J23" s="459" t="n">
        <f aca="false">'Pipeline Co BS'!J13-'Pipeline Co BS'!K13</f>
        <v>1683.50684931507</v>
      </c>
      <c r="K23" s="459" t="n">
        <f aca="false">'Pipeline Co BS'!K13-'Pipeline Co BS'!L13</f>
        <v>-563.16493150685</v>
      </c>
      <c r="L23" s="459" t="n">
        <f aca="false">'Pipeline Co BS'!L13-'Pipeline Co BS'!M13</f>
        <v>-568.796580821923</v>
      </c>
      <c r="M23" s="459" t="n">
        <f aca="false">'Pipeline Co BS'!M13-'Pipeline Co BS'!N13</f>
        <v>-574.484546630127</v>
      </c>
      <c r="N23" s="459" t="n">
        <f aca="false">'Pipeline Co BS'!N13-'Pipeline Co BS'!O13</f>
        <v>-580.229392096444</v>
      </c>
      <c r="O23" s="459" t="n">
        <f aca="false">'Pipeline Co BS'!O13-'Pipeline Co BS'!P13</f>
        <v>-586.031686017399</v>
      </c>
      <c r="P23" s="459" t="n">
        <f aca="false">'Pipeline Co BS'!P13-'Pipeline Co BS'!Q13</f>
        <v>-591.892002877583</v>
      </c>
      <c r="Q23" s="459" t="n">
        <f aca="false">'Pipeline Co BS'!Q13-'Pipeline Co BS'!R13</f>
        <v>-597.810922906356</v>
      </c>
      <c r="R23" s="459" t="n">
        <f aca="false">'Pipeline Co BS'!R13-'Pipeline Co BS'!S13</f>
        <v>-603.789032135413</v>
      </c>
      <c r="S23" s="459" t="n">
        <f aca="false">'Pipeline Co BS'!S13-'Pipeline Co BS'!T13</f>
        <v>-609.826922456763</v>
      </c>
      <c r="T23" s="83"/>
    </row>
    <row r="24" customFormat="false" ht="12.75" hidden="false" customHeight="false" outlineLevel="0" collapsed="false">
      <c r="A24" s="758" t="s">
        <v>464</v>
      </c>
      <c r="D24" s="669"/>
      <c r="E24" s="669"/>
      <c r="F24" s="669"/>
      <c r="G24" s="670"/>
      <c r="H24" s="731"/>
      <c r="I24" s="459"/>
      <c r="J24" s="459" t="n">
        <f aca="false">'Pipeline Co BS'!J14-'Pipeline Co BS'!K14</f>
        <v>-6537.67123287671</v>
      </c>
      <c r="K24" s="459" t="n">
        <f aca="false">'Pipeline Co BS'!K14-'Pipeline Co BS'!L14</f>
        <v>-663.441780821915</v>
      </c>
      <c r="L24" s="459" t="n">
        <f aca="false">'Pipeline Co BS'!L14-'Pipeline Co BS'!M14</f>
        <v>-680.027825342462</v>
      </c>
      <c r="M24" s="459" t="n">
        <f aca="false">'Pipeline Co BS'!M14-'Pipeline Co BS'!N14</f>
        <v>-697.028520976022</v>
      </c>
      <c r="N24" s="459" t="n">
        <f aca="false">'Pipeline Co BS'!N14-'Pipeline Co BS'!O14</f>
        <v>-714.454234000426</v>
      </c>
      <c r="O24" s="459" t="n">
        <f aca="false">'Pipeline Co BS'!O14-'Pipeline Co BS'!P14</f>
        <v>-732.315589850434</v>
      </c>
      <c r="P24" s="459" t="n">
        <f aca="false">'Pipeline Co BS'!P14-'Pipeline Co BS'!Q14</f>
        <v>-750.623479596696</v>
      </c>
      <c r="Q24" s="459" t="n">
        <f aca="false">'Pipeline Co BS'!Q14-'Pipeline Co BS'!R14</f>
        <v>-769.389066586617</v>
      </c>
      <c r="R24" s="459" t="n">
        <f aca="false">'Pipeline Co BS'!R14-'Pipeline Co BS'!S14</f>
        <v>-788.623793251281</v>
      </c>
      <c r="S24" s="459" t="n">
        <f aca="false">'Pipeline Co BS'!S14-'Pipeline Co BS'!T14</f>
        <v>-808.339388082557</v>
      </c>
      <c r="T24" s="83"/>
    </row>
    <row r="25" customFormat="false" ht="12.75" hidden="false" customHeight="false" outlineLevel="0" collapsed="false">
      <c r="A25" s="758" t="s">
        <v>465</v>
      </c>
      <c r="D25" s="669"/>
      <c r="E25" s="669"/>
      <c r="F25" s="669"/>
      <c r="G25" s="670"/>
      <c r="H25" s="731"/>
      <c r="I25" s="459"/>
      <c r="J25" s="459" t="n">
        <f aca="false">'Pipeline Co BS'!J17-'Pipeline Co BS'!K17</f>
        <v>0</v>
      </c>
      <c r="K25" s="459" t="n">
        <f aca="false">'Pipeline Co BS'!K17-'Pipeline Co BS'!L17</f>
        <v>0</v>
      </c>
      <c r="L25" s="459" t="n">
        <f aca="false">'Pipeline Co BS'!L17-'Pipeline Co BS'!M17</f>
        <v>0</v>
      </c>
      <c r="M25" s="459" t="n">
        <f aca="false">'Pipeline Co BS'!M17-'Pipeline Co BS'!N17</f>
        <v>0</v>
      </c>
      <c r="N25" s="459" t="n">
        <f aca="false">'Pipeline Co BS'!N17-'Pipeline Co BS'!O17</f>
        <v>0</v>
      </c>
      <c r="O25" s="459" t="n">
        <f aca="false">'Pipeline Co BS'!O17-'Pipeline Co BS'!P17</f>
        <v>0</v>
      </c>
      <c r="P25" s="459" t="n">
        <f aca="false">'Pipeline Co BS'!P17-'Pipeline Co BS'!Q17</f>
        <v>0</v>
      </c>
      <c r="Q25" s="459" t="n">
        <f aca="false">'Pipeline Co BS'!Q17-'Pipeline Co BS'!R17</f>
        <v>0</v>
      </c>
      <c r="R25" s="459" t="n">
        <f aca="false">'Pipeline Co BS'!R17-'Pipeline Co BS'!S17</f>
        <v>0</v>
      </c>
      <c r="S25" s="459" t="n">
        <f aca="false">'Pipeline Co BS'!S17-'Pipeline Co BS'!T17</f>
        <v>0</v>
      </c>
      <c r="T25" s="83"/>
    </row>
    <row r="26" customFormat="false" ht="12.75" hidden="false" customHeight="false" outlineLevel="0" collapsed="false">
      <c r="A26" s="759" t="s">
        <v>466</v>
      </c>
      <c r="D26" s="669"/>
      <c r="E26" s="669"/>
      <c r="F26" s="669"/>
      <c r="G26" s="670"/>
      <c r="H26" s="731"/>
      <c r="I26" s="459"/>
      <c r="J26" s="459" t="n">
        <f aca="false">'Pipeline Co BS'!K38-'Pipeline Co BS'!J38</f>
        <v>-6616.43835616439</v>
      </c>
      <c r="K26" s="459" t="n">
        <f aca="false">'Pipeline Co BS'!L38-'Pipeline Co BS'!K38</f>
        <v>884.589041095889</v>
      </c>
      <c r="L26" s="459" t="n">
        <f aca="false">'Pipeline Co BS'!M38-'Pipeline Co BS'!L38</f>
        <v>906.703767123283</v>
      </c>
      <c r="M26" s="459" t="n">
        <f aca="false">'Pipeline Co BS'!N38-'Pipeline Co BS'!M38</f>
        <v>929.371361301361</v>
      </c>
      <c r="N26" s="459" t="n">
        <f aca="false">'Pipeline Co BS'!O38-'Pipeline Co BS'!N38</f>
        <v>952.605645333897</v>
      </c>
      <c r="O26" s="459" t="n">
        <f aca="false">'Pipeline Co BS'!P38-'Pipeline Co BS'!O38</f>
        <v>976.42078646725</v>
      </c>
      <c r="P26" s="459" t="n">
        <f aca="false">'Pipeline Co BS'!Q38-'Pipeline Co BS'!P38</f>
        <v>1000.83130612893</v>
      </c>
      <c r="Q26" s="459" t="n">
        <f aca="false">'Pipeline Co BS'!R38-'Pipeline Co BS'!Q38</f>
        <v>1025.85208878215</v>
      </c>
      <c r="R26" s="459" t="n">
        <f aca="false">'Pipeline Co BS'!S38-'Pipeline Co BS'!R38</f>
        <v>1051.49839100171</v>
      </c>
      <c r="S26" s="459" t="n">
        <f aca="false">'Pipeline Co BS'!T38-'Pipeline Co BS'!S38</f>
        <v>1077.78585077675</v>
      </c>
      <c r="T26" s="83"/>
    </row>
    <row r="27" customFormat="false" ht="12.75" hidden="false" customHeight="false" outlineLevel="0" collapsed="false">
      <c r="A27" s="759" t="s">
        <v>467</v>
      </c>
      <c r="D27" s="669"/>
      <c r="E27" s="669"/>
      <c r="F27" s="669"/>
      <c r="G27" s="670"/>
      <c r="H27" s="731"/>
      <c r="I27" s="459"/>
      <c r="J27" s="459" t="n">
        <f aca="false">'Pipeline Co BS'!K39-'Pipeline Co BS'!J39</f>
        <v>-11564.8219178082</v>
      </c>
      <c r="K27" s="459" t="n">
        <f aca="false">'Pipeline Co BS'!L39-'Pipeline Co BS'!K39</f>
        <v>774.351780821919</v>
      </c>
      <c r="L27" s="459" t="n">
        <f aca="false">'Pipeline Co BS'!M39-'Pipeline Co BS'!L39</f>
        <v>782.095298630127</v>
      </c>
      <c r="M27" s="459" t="n">
        <f aca="false">'Pipeline Co BS'!N39-'Pipeline Co BS'!M39</f>
        <v>789.916251616436</v>
      </c>
      <c r="N27" s="459" t="n">
        <f aca="false">'Pipeline Co BS'!O39-'Pipeline Co BS'!N39</f>
        <v>797.815414132609</v>
      </c>
      <c r="O27" s="459" t="n">
        <f aca="false">'Pipeline Co BS'!P39-'Pipeline Co BS'!O39</f>
        <v>805.793568273919</v>
      </c>
      <c r="P27" s="459" t="n">
        <f aca="false">'Pipeline Co BS'!Q39-'Pipeline Co BS'!P39</f>
        <v>813.85150395667</v>
      </c>
      <c r="Q27" s="459" t="n">
        <f aca="false">'Pipeline Co BS'!R39-'Pipeline Co BS'!Q39</f>
        <v>821.99001899625</v>
      </c>
      <c r="R27" s="459" t="n">
        <f aca="false">'Pipeline Co BS'!S39-'Pipeline Co BS'!R39</f>
        <v>830.209919186193</v>
      </c>
      <c r="S27" s="459" t="n">
        <f aca="false">'Pipeline Co BS'!T39-'Pipeline Co BS'!S39</f>
        <v>838.512018378053</v>
      </c>
      <c r="T27" s="83"/>
    </row>
    <row r="28" customFormat="false" ht="12.75" hidden="false" customHeight="false" outlineLevel="0" collapsed="false">
      <c r="A28" s="759" t="s">
        <v>468</v>
      </c>
      <c r="D28" s="669"/>
      <c r="E28" s="669"/>
      <c r="F28" s="669"/>
      <c r="G28" s="670"/>
      <c r="H28" s="731"/>
      <c r="I28" s="760"/>
      <c r="J28" s="459" t="n">
        <f aca="false">'Pipeline Co BS'!K43-'Pipeline Co BS'!J43</f>
        <v>0</v>
      </c>
      <c r="K28" s="459" t="n">
        <f aca="false">'Pipeline Co BS'!L43-'Pipeline Co BS'!K43</f>
        <v>0</v>
      </c>
      <c r="L28" s="459" t="n">
        <f aca="false">'Pipeline Co BS'!M43-'Pipeline Co BS'!L43</f>
        <v>0</v>
      </c>
      <c r="M28" s="459" t="n">
        <f aca="false">'Pipeline Co BS'!N43-'Pipeline Co BS'!M43</f>
        <v>0</v>
      </c>
      <c r="N28" s="459" t="n">
        <f aca="false">'Pipeline Co BS'!O43-'Pipeline Co BS'!N43</f>
        <v>0</v>
      </c>
      <c r="O28" s="459" t="n">
        <f aca="false">'Pipeline Co BS'!P43-'Pipeline Co BS'!O43</f>
        <v>0</v>
      </c>
      <c r="P28" s="459" t="n">
        <f aca="false">'Pipeline Co BS'!Q43-'Pipeline Co BS'!P43</f>
        <v>0</v>
      </c>
      <c r="Q28" s="459" t="n">
        <f aca="false">'Pipeline Co BS'!R43-'Pipeline Co BS'!Q43</f>
        <v>0</v>
      </c>
      <c r="R28" s="459" t="n">
        <f aca="false">'Pipeline Co BS'!S43-'Pipeline Co BS'!R43</f>
        <v>0</v>
      </c>
      <c r="S28" s="459" t="n">
        <f aca="false">'Pipeline Co BS'!T43-'Pipeline Co BS'!S43</f>
        <v>0</v>
      </c>
      <c r="T28" s="83"/>
    </row>
    <row r="29" customFormat="false" ht="12.75" hidden="false" customHeight="false" outlineLevel="0" collapsed="false">
      <c r="A29" s="757" t="s">
        <v>469</v>
      </c>
      <c r="D29" s="761" t="n">
        <v>4000</v>
      </c>
      <c r="E29" s="761" t="n">
        <v>22000</v>
      </c>
      <c r="F29" s="761" t="n">
        <v>-35000</v>
      </c>
      <c r="G29" s="762" t="n">
        <v>0</v>
      </c>
      <c r="H29" s="763" t="n">
        <v>0</v>
      </c>
      <c r="I29" s="459" t="n">
        <f aca="false">G29+H29</f>
        <v>0</v>
      </c>
      <c r="J29" s="764" t="n">
        <f aca="false">SUM(J22:J28)</f>
        <v>-31785.5616438356</v>
      </c>
      <c r="K29" s="764" t="n">
        <f aca="false">SUM(K22:K28)</f>
        <v>-1815.7097260274</v>
      </c>
      <c r="L29" s="764" t="n">
        <f aca="false">SUM(L22:L28)</f>
        <v>-1840.77953219182</v>
      </c>
      <c r="M29" s="764" t="n">
        <f aca="false">SUM(M22:M28)</f>
        <v>-1866.25827660617</v>
      </c>
      <c r="N29" s="764" t="n">
        <f aca="false">SUM(N22:N28)</f>
        <v>-1892.15389596731</v>
      </c>
      <c r="O29" s="764" t="n">
        <f aca="false">SUM(O22:O28)</f>
        <v>-1918.47450583395</v>
      </c>
      <c r="P29" s="764" t="n">
        <f aca="false">SUM(P22:P28)</f>
        <v>-1945.22840513325</v>
      </c>
      <c r="Q29" s="764" t="n">
        <f aca="false">SUM(Q22:Q28)</f>
        <v>-1972.42408079047</v>
      </c>
      <c r="R29" s="764" t="n">
        <f aca="false">SUM(R22:R28)</f>
        <v>-2000.07021248433</v>
      </c>
      <c r="S29" s="764" t="n">
        <f aca="false">SUM(S22:S28)</f>
        <v>-2028.17567753213</v>
      </c>
      <c r="T29" s="83"/>
    </row>
    <row r="30" customFormat="false" ht="12.75" hidden="false" customHeight="false" outlineLevel="0" collapsed="false">
      <c r="A30" s="371" t="s">
        <v>470</v>
      </c>
      <c r="D30" s="676" t="n">
        <f aca="false">D29+SUM(D11:D20)</f>
        <v>174000</v>
      </c>
      <c r="E30" s="676" t="n">
        <f aca="false">E29+SUM(E11:E20)</f>
        <v>200000</v>
      </c>
      <c r="F30" s="676" t="n">
        <f aca="false">F29+SUM(F11:F20)</f>
        <v>174000</v>
      </c>
      <c r="G30" s="765" t="n">
        <f aca="false">G29+SUM(G11:G20)</f>
        <v>170000</v>
      </c>
      <c r="H30" s="736"/>
      <c r="I30" s="766" t="n">
        <f aca="false">SUM(I11:I20)+I29</f>
        <v>110000</v>
      </c>
      <c r="J30" s="766" t="n">
        <f aca="false">SUM(J11:J20)+J29</f>
        <v>123236.313356164</v>
      </c>
      <c r="K30" s="766" t="n">
        <f aca="false">SUM(K11:K20)+K29</f>
        <v>186658.782930272</v>
      </c>
      <c r="L30" s="766" t="n">
        <f aca="false">SUM(L11:L20)+L29</f>
        <v>197174.739212858</v>
      </c>
      <c r="M30" s="766" t="n">
        <f aca="false">SUM(M11:M20)+M29</f>
        <v>207675.00121545</v>
      </c>
      <c r="N30" s="766" t="n">
        <f aca="false">SUM(N11:N20)+N29</f>
        <v>218158.598285449</v>
      </c>
      <c r="O30" s="766" t="n">
        <f aca="false">SUM(O11:O20)+O29</f>
        <v>228624.52952055</v>
      </c>
      <c r="P30" s="766" t="n">
        <f aca="false">SUM(P11:P20)+P29</f>
        <v>239071.76295906</v>
      </c>
      <c r="Q30" s="766" t="n">
        <f aca="false">SUM(Q11:Q20)+Q29</f>
        <v>249499.234749886</v>
      </c>
      <c r="R30" s="766" t="n">
        <f aca="false">SUM(R11:R20)+R29</f>
        <v>259905.848301684</v>
      </c>
      <c r="S30" s="766" t="n">
        <f aca="false">SUM(S11:S20)+S29</f>
        <v>270290.473410692</v>
      </c>
      <c r="T30" s="83"/>
    </row>
    <row r="31" customFormat="false" ht="12.75" hidden="false" customHeight="false" outlineLevel="0" collapsed="false">
      <c r="A31" s="371"/>
      <c r="D31" s="631"/>
      <c r="E31" s="631"/>
      <c r="F31" s="631"/>
      <c r="G31" s="767"/>
      <c r="H31" s="737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83"/>
    </row>
    <row r="32" customFormat="false" ht="12.75" hidden="false" customHeight="false" outlineLevel="0" collapsed="false">
      <c r="A32" s="371" t="s">
        <v>471</v>
      </c>
      <c r="D32" s="508"/>
      <c r="E32" s="508"/>
      <c r="F32" s="508"/>
      <c r="G32" s="768"/>
      <c r="H32" s="737"/>
      <c r="T32" s="83"/>
    </row>
    <row r="33" customFormat="false" ht="12.75" hidden="false" customHeight="false" outlineLevel="0" collapsed="false">
      <c r="A33" s="733" t="s">
        <v>472</v>
      </c>
      <c r="D33" s="669" t="n">
        <v>0</v>
      </c>
      <c r="E33" s="669" t="n">
        <v>-1900000</v>
      </c>
      <c r="F33" s="669" t="n">
        <v>0</v>
      </c>
      <c r="G33" s="670" t="n">
        <v>0</v>
      </c>
      <c r="H33" s="731" t="n">
        <v>0</v>
      </c>
      <c r="I33" s="459" t="n">
        <f aca="false">G33+H33</f>
        <v>0</v>
      </c>
      <c r="J33" s="459" t="n">
        <f aca="false">G33</f>
        <v>0</v>
      </c>
      <c r="K33" s="459" t="n">
        <f aca="false">H33</f>
        <v>0</v>
      </c>
      <c r="L33" s="459" t="n">
        <f aca="false">J33</f>
        <v>0</v>
      </c>
      <c r="M33" s="459" t="n">
        <f aca="false">K33</f>
        <v>0</v>
      </c>
      <c r="N33" s="459" t="n">
        <f aca="false">L33</f>
        <v>0</v>
      </c>
      <c r="O33" s="459" t="n">
        <f aca="false">M33</f>
        <v>0</v>
      </c>
      <c r="P33" s="459" t="n">
        <f aca="false">N33</f>
        <v>0</v>
      </c>
      <c r="Q33" s="459" t="n">
        <f aca="false">O33</f>
        <v>0</v>
      </c>
      <c r="R33" s="459" t="n">
        <f aca="false">P33</f>
        <v>0</v>
      </c>
      <c r="S33" s="459" t="n">
        <f aca="false">Q33</f>
        <v>0</v>
      </c>
      <c r="T33" s="83"/>
    </row>
    <row r="34" customFormat="false" ht="12.75" hidden="false" customHeight="false" outlineLevel="0" collapsed="false">
      <c r="A34" s="738" t="s">
        <v>473</v>
      </c>
      <c r="D34" s="669" t="n">
        <f aca="false">D69</f>
        <v>-85000</v>
      </c>
      <c r="E34" s="669" t="n">
        <f aca="false">E69</f>
        <v>-57000</v>
      </c>
      <c r="F34" s="669" t="n">
        <f aca="false">F69</f>
        <v>-129000</v>
      </c>
      <c r="G34" s="669" t="n">
        <f aca="false">G69</f>
        <v>-60000</v>
      </c>
      <c r="H34" s="731" t="n">
        <v>0</v>
      </c>
      <c r="I34" s="459" t="n">
        <f aca="false">G34+H34</f>
        <v>-60000</v>
      </c>
      <c r="J34" s="459" t="n">
        <f aca="false">J69</f>
        <v>-60600</v>
      </c>
      <c r="K34" s="459" t="n">
        <f aca="false">K69</f>
        <v>-61206</v>
      </c>
      <c r="L34" s="459" t="n">
        <f aca="false">L69</f>
        <v>-61818.06</v>
      </c>
      <c r="M34" s="459" t="n">
        <f aca="false">M69</f>
        <v>-62436.2406</v>
      </c>
      <c r="N34" s="459" t="n">
        <f aca="false">N69</f>
        <v>-63060.603006</v>
      </c>
      <c r="O34" s="459" t="n">
        <f aca="false">O69</f>
        <v>-63691.20903606</v>
      </c>
      <c r="P34" s="459" t="n">
        <f aca="false">P69</f>
        <v>-64328.1211264206</v>
      </c>
      <c r="Q34" s="459" t="n">
        <f aca="false">Q69</f>
        <v>-64971.4023376848</v>
      </c>
      <c r="R34" s="459" t="n">
        <f aca="false">R69</f>
        <v>-65621.1163610617</v>
      </c>
      <c r="S34" s="459" t="n">
        <f aca="false">S69</f>
        <v>-66277.3275246723</v>
      </c>
      <c r="T34" s="83"/>
    </row>
    <row r="35" customFormat="false" ht="12.75" hidden="false" customHeight="false" outlineLevel="0" collapsed="false">
      <c r="A35" s="738" t="s">
        <v>474</v>
      </c>
      <c r="D35" s="669" t="n">
        <v>-106000</v>
      </c>
      <c r="E35" s="669" t="n">
        <v>-17000</v>
      </c>
      <c r="F35" s="669" t="n">
        <v>0</v>
      </c>
      <c r="G35" s="670" t="n">
        <v>0</v>
      </c>
      <c r="H35" s="731" t="n">
        <v>0</v>
      </c>
      <c r="I35" s="459" t="n">
        <f aca="false">G35+H35</f>
        <v>0</v>
      </c>
      <c r="J35" s="459" t="n">
        <f aca="false">G35</f>
        <v>0</v>
      </c>
      <c r="K35" s="459" t="n">
        <f aca="false">H35</f>
        <v>0</v>
      </c>
      <c r="L35" s="459" t="n">
        <f aca="false">J35</f>
        <v>0</v>
      </c>
      <c r="M35" s="459" t="n">
        <f aca="false">K35</f>
        <v>0</v>
      </c>
      <c r="N35" s="459" t="n">
        <f aca="false">L35</f>
        <v>0</v>
      </c>
      <c r="O35" s="459" t="n">
        <f aca="false">M35</f>
        <v>0</v>
      </c>
      <c r="P35" s="459" t="n">
        <f aca="false">N35</f>
        <v>0</v>
      </c>
      <c r="Q35" s="459" t="n">
        <f aca="false">O35</f>
        <v>0</v>
      </c>
      <c r="R35" s="459" t="n">
        <f aca="false">P35</f>
        <v>0</v>
      </c>
      <c r="S35" s="459" t="n">
        <f aca="false">Q35</f>
        <v>0</v>
      </c>
      <c r="T35" s="83"/>
    </row>
    <row r="36" customFormat="false" ht="12.75" hidden="false" customHeight="false" outlineLevel="0" collapsed="false">
      <c r="A36" s="738" t="s">
        <v>475</v>
      </c>
      <c r="D36" s="669" t="n">
        <v>17000</v>
      </c>
      <c r="E36" s="669" t="n">
        <v>-1000</v>
      </c>
      <c r="F36" s="669" t="n">
        <v>-1000</v>
      </c>
      <c r="G36" s="670" t="n">
        <v>0</v>
      </c>
      <c r="H36" s="731" t="n">
        <v>0</v>
      </c>
      <c r="I36" s="459" t="n">
        <f aca="false">G36+H36</f>
        <v>0</v>
      </c>
      <c r="J36" s="459" t="n">
        <f aca="false">'Pipeline Co BS'!K16-'Pipeline Co BS'!J16</f>
        <v>0</v>
      </c>
      <c r="K36" s="459" t="n">
        <f aca="false">'Pipeline Co BS'!L16-'Pipeline Co BS'!K16</f>
        <v>0</v>
      </c>
      <c r="L36" s="459" t="n">
        <f aca="false">'Pipeline Co BS'!M16-'Pipeline Co BS'!L16</f>
        <v>0</v>
      </c>
      <c r="M36" s="459" t="n">
        <f aca="false">'Pipeline Co BS'!N16-'Pipeline Co BS'!M16</f>
        <v>0</v>
      </c>
      <c r="N36" s="459" t="n">
        <f aca="false">'Pipeline Co BS'!O16-'Pipeline Co BS'!N16</f>
        <v>0</v>
      </c>
      <c r="O36" s="459" t="n">
        <f aca="false">'Pipeline Co BS'!P16-'Pipeline Co BS'!O16</f>
        <v>0</v>
      </c>
      <c r="P36" s="459" t="n">
        <f aca="false">'Pipeline Co BS'!Q16-'Pipeline Co BS'!P16</f>
        <v>0</v>
      </c>
      <c r="Q36" s="459" t="n">
        <f aca="false">'Pipeline Co BS'!R16-'Pipeline Co BS'!Q16</f>
        <v>0</v>
      </c>
      <c r="R36" s="459" t="n">
        <f aca="false">'Pipeline Co BS'!S16-'Pipeline Co BS'!R16</f>
        <v>0</v>
      </c>
      <c r="S36" s="459" t="n">
        <f aca="false">'Pipeline Co BS'!T16-'Pipeline Co BS'!S16</f>
        <v>0</v>
      </c>
      <c r="T36" s="83"/>
    </row>
    <row r="37" customFormat="false" ht="12.75" hidden="true" customHeight="false" outlineLevel="1" collapsed="false">
      <c r="A37" s="732" t="s">
        <v>476</v>
      </c>
      <c r="D37" s="669"/>
      <c r="E37" s="669"/>
      <c r="F37" s="669"/>
      <c r="G37" s="670"/>
      <c r="H37" s="731"/>
      <c r="J37" s="459"/>
      <c r="K37" s="459"/>
      <c r="L37" s="459"/>
      <c r="M37" s="459"/>
      <c r="N37" s="459"/>
      <c r="O37" s="459"/>
      <c r="P37" s="459"/>
      <c r="Q37" s="459"/>
      <c r="R37" s="459"/>
      <c r="S37" s="459"/>
      <c r="T37" s="83"/>
    </row>
    <row r="38" customFormat="false" ht="12.75" hidden="true" customHeight="false" outlineLevel="1" collapsed="false">
      <c r="A38" s="732" t="s">
        <v>477</v>
      </c>
      <c r="D38" s="669"/>
      <c r="E38" s="669"/>
      <c r="F38" s="669"/>
      <c r="G38" s="670"/>
      <c r="H38" s="731"/>
      <c r="J38" s="459"/>
      <c r="K38" s="459"/>
      <c r="L38" s="459"/>
      <c r="M38" s="459"/>
      <c r="N38" s="459"/>
      <c r="O38" s="459"/>
      <c r="P38" s="459"/>
      <c r="Q38" s="459"/>
      <c r="R38" s="459"/>
      <c r="S38" s="459"/>
      <c r="T38" s="83"/>
    </row>
    <row r="39" customFormat="false" ht="12.75" hidden="true" customHeight="false" outlineLevel="1" collapsed="false">
      <c r="A39" s="732" t="s">
        <v>478</v>
      </c>
      <c r="D39" s="669"/>
      <c r="E39" s="669"/>
      <c r="F39" s="669"/>
      <c r="G39" s="670"/>
      <c r="H39" s="731"/>
      <c r="J39" s="459"/>
      <c r="K39" s="459"/>
      <c r="L39" s="459"/>
      <c r="M39" s="459"/>
      <c r="N39" s="459"/>
      <c r="O39" s="459"/>
      <c r="P39" s="459"/>
      <c r="Q39" s="459"/>
      <c r="R39" s="459"/>
      <c r="S39" s="459"/>
      <c r="T39" s="83"/>
    </row>
    <row r="40" customFormat="false" ht="12.75" hidden="true" customHeight="false" outlineLevel="1" collapsed="false">
      <c r="A40" s="732" t="s">
        <v>479</v>
      </c>
      <c r="D40" s="669"/>
      <c r="E40" s="669"/>
      <c r="F40" s="669"/>
      <c r="G40" s="670"/>
      <c r="H40" s="731"/>
      <c r="J40" s="459"/>
      <c r="K40" s="459"/>
      <c r="L40" s="459"/>
      <c r="M40" s="459"/>
      <c r="N40" s="459"/>
      <c r="O40" s="459"/>
      <c r="P40" s="459"/>
      <c r="Q40" s="459"/>
      <c r="R40" s="459"/>
      <c r="S40" s="459"/>
      <c r="T40" s="83"/>
    </row>
    <row r="41" customFormat="false" ht="12.75" hidden="true" customHeight="false" outlineLevel="1" collapsed="false">
      <c r="A41" s="732" t="s">
        <v>480</v>
      </c>
      <c r="D41" s="669"/>
      <c r="E41" s="669"/>
      <c r="F41" s="669"/>
      <c r="G41" s="670"/>
      <c r="H41" s="731"/>
      <c r="J41" s="459"/>
      <c r="K41" s="459"/>
      <c r="L41" s="459"/>
      <c r="M41" s="459"/>
      <c r="N41" s="459"/>
      <c r="O41" s="459"/>
      <c r="P41" s="459"/>
      <c r="Q41" s="459"/>
      <c r="R41" s="459"/>
      <c r="S41" s="459"/>
      <c r="T41" s="83"/>
    </row>
    <row r="42" customFormat="false" ht="12.75" hidden="true" customHeight="false" outlineLevel="1" collapsed="false">
      <c r="A42" s="732" t="s">
        <v>481</v>
      </c>
      <c r="D42" s="669"/>
      <c r="E42" s="669"/>
      <c r="F42" s="669"/>
      <c r="G42" s="670"/>
      <c r="H42" s="731"/>
      <c r="J42" s="459"/>
      <c r="K42" s="459"/>
      <c r="L42" s="459"/>
      <c r="M42" s="459"/>
      <c r="N42" s="459"/>
      <c r="O42" s="459"/>
      <c r="P42" s="459"/>
      <c r="Q42" s="459"/>
      <c r="R42" s="459"/>
      <c r="S42" s="459"/>
      <c r="T42" s="83"/>
    </row>
    <row r="43" customFormat="false" ht="12.75" hidden="false" customHeight="false" outlineLevel="0" collapsed="false">
      <c r="A43" s="621" t="s">
        <v>482</v>
      </c>
      <c r="D43" s="672" t="n">
        <f aca="false">SUM(D33:D42)</f>
        <v>-174000</v>
      </c>
      <c r="E43" s="672" t="n">
        <f aca="false">SUM(E33:E42)</f>
        <v>-1975000</v>
      </c>
      <c r="F43" s="672" t="n">
        <f aca="false">SUM(F33:F42)</f>
        <v>-130000</v>
      </c>
      <c r="G43" s="769" t="n">
        <f aca="false">SUM(G33:G42)</f>
        <v>-60000</v>
      </c>
      <c r="H43" s="736"/>
      <c r="I43" s="677" t="n">
        <f aca="false">SUM(I33:I42)</f>
        <v>-60000</v>
      </c>
      <c r="J43" s="677" t="n">
        <f aca="false">SUM(J33:J42)</f>
        <v>-60600</v>
      </c>
      <c r="K43" s="677" t="n">
        <f aca="false">SUM(K33:K42)</f>
        <v>-61206</v>
      </c>
      <c r="L43" s="677" t="n">
        <f aca="false">SUM(L33:L42)</f>
        <v>-61818.06</v>
      </c>
      <c r="M43" s="677" t="n">
        <f aca="false">SUM(M33:M42)</f>
        <v>-62436.2406</v>
      </c>
      <c r="N43" s="677" t="n">
        <f aca="false">SUM(N33:N42)</f>
        <v>-63060.603006</v>
      </c>
      <c r="O43" s="677" t="n">
        <f aca="false">SUM(O33:O42)</f>
        <v>-63691.20903606</v>
      </c>
      <c r="P43" s="677" t="n">
        <f aca="false">SUM(P33:P42)</f>
        <v>-64328.1211264206</v>
      </c>
      <c r="Q43" s="677" t="n">
        <f aca="false">SUM(Q33:Q42)</f>
        <v>-64971.4023376848</v>
      </c>
      <c r="R43" s="677" t="n">
        <f aca="false">SUM(R33:R42)</f>
        <v>-65621.1163610617</v>
      </c>
      <c r="S43" s="677" t="n">
        <f aca="false">SUM(S33:S42)</f>
        <v>-66277.3275246723</v>
      </c>
      <c r="T43" s="83"/>
    </row>
    <row r="44" customFormat="false" ht="12.75" hidden="false" customHeight="false" outlineLevel="0" collapsed="false">
      <c r="A44" s="621"/>
      <c r="D44" s="510"/>
      <c r="E44" s="770"/>
      <c r="F44" s="770"/>
      <c r="G44" s="771"/>
      <c r="H44" s="737"/>
      <c r="J44" s="772"/>
      <c r="K44" s="772"/>
      <c r="L44" s="772"/>
      <c r="M44" s="17"/>
      <c r="N44" s="17"/>
      <c r="O44" s="17"/>
      <c r="P44" s="17"/>
      <c r="Q44" s="17"/>
      <c r="R44" s="17"/>
      <c r="S44" s="17"/>
      <c r="T44" s="83"/>
    </row>
    <row r="45" customFormat="false" ht="12.75" hidden="false" customHeight="false" outlineLevel="0" collapsed="false">
      <c r="A45" s="621" t="s">
        <v>483</v>
      </c>
      <c r="D45" s="508"/>
      <c r="E45" s="508"/>
      <c r="F45" s="508"/>
      <c r="G45" s="768"/>
      <c r="H45" s="737"/>
      <c r="T45" s="83"/>
    </row>
    <row r="46" customFormat="false" ht="12.75" hidden="false" customHeight="false" outlineLevel="0" collapsed="false">
      <c r="A46" s="773" t="s">
        <v>484</v>
      </c>
      <c r="D46" s="669" t="n">
        <v>0</v>
      </c>
      <c r="E46" s="669" t="n">
        <v>1116000</v>
      </c>
      <c r="F46" s="669" t="n">
        <v>0</v>
      </c>
      <c r="G46" s="669" t="n">
        <v>105000</v>
      </c>
      <c r="H46" s="731" t="n">
        <v>0</v>
      </c>
      <c r="I46" s="459" t="n">
        <f aca="false">G46+H46</f>
        <v>105000</v>
      </c>
      <c r="J46" s="459" t="n">
        <f aca="false">'Pipeline Co BS'!K63-'Pipeline Co BS'!J63</f>
        <v>0</v>
      </c>
      <c r="K46" s="459" t="n">
        <f aca="false">'Pipeline Co BS'!L63-'Pipeline Co BS'!K63</f>
        <v>0</v>
      </c>
      <c r="L46" s="459" t="n">
        <f aca="false">'Pipeline Co BS'!M63-'Pipeline Co BS'!L63</f>
        <v>0</v>
      </c>
      <c r="M46" s="459" t="n">
        <f aca="false">'Pipeline Co BS'!N63-'Pipeline Co BS'!M63</f>
        <v>0</v>
      </c>
      <c r="N46" s="459" t="n">
        <f aca="false">'Pipeline Co BS'!O63-'Pipeline Co BS'!N63</f>
        <v>0</v>
      </c>
      <c r="O46" s="459" t="n">
        <f aca="false">'Pipeline Co BS'!P63-'Pipeline Co BS'!O63</f>
        <v>0</v>
      </c>
      <c r="P46" s="459" t="n">
        <f aca="false">'Pipeline Co BS'!Q63-'Pipeline Co BS'!P63</f>
        <v>0</v>
      </c>
      <c r="Q46" s="459" t="n">
        <f aca="false">'Pipeline Co BS'!R63-'Pipeline Co BS'!Q63</f>
        <v>0</v>
      </c>
      <c r="R46" s="459" t="n">
        <f aca="false">'Pipeline Co BS'!S63-'Pipeline Co BS'!R63</f>
        <v>0</v>
      </c>
      <c r="S46" s="459" t="n">
        <f aca="false">'Pipeline Co BS'!T63-'Pipeline Co BS'!S63</f>
        <v>0</v>
      </c>
      <c r="T46" s="83"/>
    </row>
    <row r="47" customFormat="false" ht="12.75" hidden="false" customHeight="false" outlineLevel="0" collapsed="false">
      <c r="A47" s="773" t="s">
        <v>485</v>
      </c>
      <c r="D47" s="669" t="n">
        <v>0</v>
      </c>
      <c r="E47" s="669" t="n">
        <v>785000</v>
      </c>
      <c r="F47" s="669" t="n">
        <v>99000</v>
      </c>
      <c r="G47" s="669" t="n">
        <v>-1000</v>
      </c>
      <c r="H47" s="731" t="n">
        <v>0</v>
      </c>
      <c r="I47" s="459" t="n">
        <f aca="false">G47+H47</f>
        <v>-1000</v>
      </c>
      <c r="J47" s="459" t="n">
        <f aca="false">'Pipeline Co BS'!K50-'Pipeline Co BS'!J50</f>
        <v>-119200</v>
      </c>
      <c r="K47" s="459" t="n">
        <f aca="false">'Pipeline Co BS'!L50-'Pipeline Co BS'!K50</f>
        <v>-119200</v>
      </c>
      <c r="L47" s="459" t="n">
        <f aca="false">'Pipeline Co BS'!M50-'Pipeline Co BS'!L50</f>
        <v>-119200</v>
      </c>
      <c r="M47" s="459" t="n">
        <f aca="false">'Pipeline Co BS'!N50-'Pipeline Co BS'!M50</f>
        <v>-119200</v>
      </c>
      <c r="N47" s="459" t="n">
        <f aca="false">'Pipeline Co BS'!O50-'Pipeline Co BS'!N50</f>
        <v>-119200</v>
      </c>
      <c r="O47" s="459" t="n">
        <f aca="false">'Pipeline Co BS'!P50-'Pipeline Co BS'!O50</f>
        <v>-119200</v>
      </c>
      <c r="P47" s="459" t="n">
        <f aca="false">'Pipeline Co BS'!Q50-'Pipeline Co BS'!P50</f>
        <v>-119200</v>
      </c>
      <c r="Q47" s="459" t="n">
        <f aca="false">'Pipeline Co BS'!R50-'Pipeline Co BS'!Q50</f>
        <v>-119200</v>
      </c>
      <c r="R47" s="459" t="n">
        <f aca="false">'Pipeline Co BS'!S50-'Pipeline Co BS'!R50</f>
        <v>-119200</v>
      </c>
      <c r="S47" s="459" t="n">
        <f aca="false">'Pipeline Co BS'!T50-'Pipeline Co BS'!S50</f>
        <v>-119200</v>
      </c>
      <c r="T47" s="83"/>
    </row>
    <row r="48" customFormat="false" ht="12.75" hidden="false" customHeight="false" outlineLevel="0" collapsed="false">
      <c r="A48" s="773" t="s">
        <v>486</v>
      </c>
      <c r="D48" s="669" t="n">
        <v>0</v>
      </c>
      <c r="E48" s="669" t="n">
        <v>-85000</v>
      </c>
      <c r="F48" s="669" t="n">
        <v>-77000</v>
      </c>
      <c r="G48" s="669" t="n">
        <v>-148000</v>
      </c>
      <c r="H48" s="731" t="n">
        <v>310000</v>
      </c>
      <c r="I48" s="459" t="n">
        <f aca="false">G48+H48</f>
        <v>162000</v>
      </c>
      <c r="T48" s="83"/>
    </row>
    <row r="49" customFormat="false" ht="12.75" hidden="false" customHeight="false" outlineLevel="0" collapsed="false">
      <c r="A49" s="730" t="s">
        <v>487</v>
      </c>
      <c r="D49" s="669" t="n">
        <v>0</v>
      </c>
      <c r="E49" s="669" t="n">
        <v>-41000</v>
      </c>
      <c r="F49" s="669" t="n">
        <v>-66000</v>
      </c>
      <c r="G49" s="669" t="n">
        <v>-66000</v>
      </c>
      <c r="H49" s="731" t="n">
        <v>0</v>
      </c>
      <c r="I49" s="459" t="n">
        <f aca="false">G49+H49</f>
        <v>-66000</v>
      </c>
      <c r="J49" s="459" t="n">
        <f aca="false">I49</f>
        <v>-66000</v>
      </c>
      <c r="K49" s="459" t="n">
        <f aca="false">J49</f>
        <v>-66000</v>
      </c>
      <c r="L49" s="459" t="n">
        <f aca="false">K49</f>
        <v>-66000</v>
      </c>
      <c r="M49" s="459" t="n">
        <f aca="false">L49</f>
        <v>-66000</v>
      </c>
      <c r="N49" s="459" t="n">
        <f aca="false">M49</f>
        <v>-66000</v>
      </c>
      <c r="O49" s="459" t="n">
        <f aca="false">N49</f>
        <v>-66000</v>
      </c>
      <c r="P49" s="459" t="n">
        <f aca="false">O49</f>
        <v>-66000</v>
      </c>
      <c r="Q49" s="459" t="n">
        <f aca="false">P49</f>
        <v>-66000</v>
      </c>
      <c r="R49" s="459" t="n">
        <f aca="false">Q49</f>
        <v>-66000</v>
      </c>
      <c r="S49" s="459" t="n">
        <f aca="false">R49</f>
        <v>-66000</v>
      </c>
      <c r="T49" s="83"/>
    </row>
    <row r="50" customFormat="false" ht="12.75" hidden="false" customHeight="false" outlineLevel="0" collapsed="false">
      <c r="A50" s="733" t="s">
        <v>488</v>
      </c>
      <c r="D50" s="669"/>
      <c r="E50" s="669"/>
      <c r="F50" s="669"/>
      <c r="G50" s="669"/>
      <c r="H50" s="731"/>
      <c r="I50" s="459"/>
      <c r="J50" s="459"/>
      <c r="K50" s="459"/>
      <c r="L50" s="459"/>
      <c r="M50" s="459"/>
      <c r="N50" s="459"/>
      <c r="O50" s="459"/>
      <c r="P50" s="459"/>
      <c r="Q50" s="459"/>
      <c r="R50" s="459"/>
      <c r="S50" s="459"/>
      <c r="T50" s="83"/>
    </row>
    <row r="51" customFormat="false" ht="12.75" hidden="false" customHeight="false" outlineLevel="1" collapsed="false">
      <c r="A51" s="733" t="s">
        <v>489</v>
      </c>
      <c r="D51" s="669"/>
      <c r="E51" s="669"/>
      <c r="F51" s="669"/>
      <c r="G51" s="670"/>
      <c r="H51" s="731"/>
      <c r="T51" s="83"/>
    </row>
    <row r="52" customFormat="false" ht="12.75" hidden="false" customHeight="false" outlineLevel="1" collapsed="false">
      <c r="A52" s="733" t="s">
        <v>490</v>
      </c>
      <c r="D52" s="669"/>
      <c r="E52" s="669"/>
      <c r="F52" s="669"/>
      <c r="G52" s="670"/>
      <c r="H52" s="731"/>
      <c r="T52" s="83"/>
    </row>
    <row r="53" customFormat="false" ht="12.75" hidden="false" customHeight="false" outlineLevel="1" collapsed="false">
      <c r="A53" s="733" t="s">
        <v>491</v>
      </c>
      <c r="D53" s="669"/>
      <c r="E53" s="669"/>
      <c r="F53" s="669"/>
      <c r="G53" s="670"/>
      <c r="H53" s="731"/>
      <c r="T53" s="83"/>
    </row>
    <row r="54" customFormat="false" ht="12.75" hidden="false" customHeight="false" outlineLevel="1" collapsed="false">
      <c r="A54" s="733" t="s">
        <v>492</v>
      </c>
      <c r="D54" s="669"/>
      <c r="E54" s="669"/>
      <c r="F54" s="669"/>
      <c r="G54" s="670"/>
      <c r="H54" s="731"/>
      <c r="T54" s="83"/>
    </row>
    <row r="55" customFormat="false" ht="12.75" hidden="false" customHeight="false" outlineLevel="1" collapsed="false">
      <c r="A55" s="733" t="s">
        <v>493</v>
      </c>
      <c r="D55" s="669"/>
      <c r="E55" s="669"/>
      <c r="F55" s="669"/>
      <c r="G55" s="670"/>
      <c r="H55" s="731"/>
      <c r="T55" s="83"/>
    </row>
    <row r="56" customFormat="false" ht="12.75" hidden="false" customHeight="false" outlineLevel="0" collapsed="false">
      <c r="A56" s="302" t="s">
        <v>494</v>
      </c>
      <c r="D56" s="672" t="n">
        <f aca="false">SUM(D46:D55)</f>
        <v>0</v>
      </c>
      <c r="E56" s="672" t="n">
        <f aca="false">SUM(E46:E55)</f>
        <v>1775000</v>
      </c>
      <c r="F56" s="672" t="n">
        <f aca="false">SUM(F46:F55)</f>
        <v>-44000</v>
      </c>
      <c r="G56" s="769" t="n">
        <f aca="false">SUM(G46:G55)</f>
        <v>-110000</v>
      </c>
      <c r="H56" s="736"/>
      <c r="I56" s="677" t="n">
        <f aca="false">SUM(I46:I55)</f>
        <v>200000</v>
      </c>
      <c r="J56" s="677" t="n">
        <f aca="false">SUM(J46:J55)</f>
        <v>-185200</v>
      </c>
      <c r="K56" s="677" t="n">
        <f aca="false">SUM(K46:K55)</f>
        <v>-185200</v>
      </c>
      <c r="L56" s="677" t="n">
        <f aca="false">SUM(L46:L55)</f>
        <v>-185200</v>
      </c>
      <c r="M56" s="677" t="n">
        <f aca="false">SUM(M46:M55)</f>
        <v>-185200</v>
      </c>
      <c r="N56" s="677" t="n">
        <f aca="false">SUM(N46:N55)</f>
        <v>-185200</v>
      </c>
      <c r="O56" s="677" t="n">
        <f aca="false">SUM(O46:O55)</f>
        <v>-185200</v>
      </c>
      <c r="P56" s="677" t="n">
        <f aca="false">SUM(P46:P55)</f>
        <v>-185200</v>
      </c>
      <c r="Q56" s="677" t="n">
        <f aca="false">SUM(Q46:Q55)</f>
        <v>-185200</v>
      </c>
      <c r="R56" s="677" t="n">
        <f aca="false">SUM(R46:R55)</f>
        <v>-185200</v>
      </c>
      <c r="S56" s="677" t="n">
        <f aca="false">SUM(S46:S55)</f>
        <v>-185200</v>
      </c>
      <c r="T56" s="83"/>
    </row>
    <row r="57" customFormat="false" ht="12.75" hidden="false" customHeight="false" outlineLevel="0" collapsed="false">
      <c r="D57" s="508"/>
      <c r="E57" s="508"/>
      <c r="F57" s="508"/>
      <c r="G57" s="768"/>
      <c r="H57" s="729"/>
    </row>
    <row r="58" customFormat="false" ht="13.5" hidden="false" customHeight="false" outlineLevel="0" collapsed="false">
      <c r="A58" s="774" t="s">
        <v>495</v>
      </c>
      <c r="D58" s="637" t="n">
        <f aca="false">D30+D43+D56</f>
        <v>0</v>
      </c>
      <c r="E58" s="637" t="n">
        <f aca="false">E30+E43+E56</f>
        <v>0</v>
      </c>
      <c r="F58" s="637" t="n">
        <f aca="false">F30+F43+F56</f>
        <v>0</v>
      </c>
      <c r="G58" s="775" t="n">
        <f aca="false">G30+G43+G56</f>
        <v>0</v>
      </c>
      <c r="H58" s="776"/>
      <c r="I58" s="777" t="n">
        <f aca="false">I30+I43+I56</f>
        <v>250000</v>
      </c>
      <c r="J58" s="778" t="n">
        <f aca="false">J30+J43+J56</f>
        <v>-122563.686643836</v>
      </c>
      <c r="K58" s="778" t="n">
        <f aca="false">K30+K43+K56</f>
        <v>-59747.217069728</v>
      </c>
      <c r="L58" s="778" t="n">
        <f aca="false">L30+L43+L56</f>
        <v>-49843.3207871423</v>
      </c>
      <c r="M58" s="778" t="n">
        <f aca="false">M30+M43+M56</f>
        <v>-39961.2393845504</v>
      </c>
      <c r="N58" s="778" t="n">
        <f aca="false">N30+N43+N56</f>
        <v>-30102.0047205514</v>
      </c>
      <c r="O58" s="778" t="n">
        <f aca="false">O30+O43+O56</f>
        <v>-20266.6795155105</v>
      </c>
      <c r="P58" s="778" t="n">
        <f aca="false">P30+P43+P56</f>
        <v>-10456.3581673604</v>
      </c>
      <c r="Q58" s="778" t="n">
        <f aca="false">Q30+Q43+Q56</f>
        <v>-672.167587799311</v>
      </c>
      <c r="R58" s="778" t="n">
        <f aca="false">R30+R43+R56</f>
        <v>9084.73194062198</v>
      </c>
      <c r="S58" s="778" t="n">
        <f aca="false">S30+S43+S56</f>
        <v>18813.1458860194</v>
      </c>
    </row>
    <row r="59" customFormat="false" ht="13.5" hidden="false" customHeight="false" outlineLevel="0" collapsed="false">
      <c r="D59" s="508"/>
      <c r="E59" s="508"/>
      <c r="F59" s="508"/>
      <c r="G59" s="768"/>
      <c r="H59" s="737"/>
    </row>
    <row r="60" customFormat="false" ht="12.75" hidden="false" customHeight="false" outlineLevel="0" collapsed="false">
      <c r="A60" s="371" t="s">
        <v>496</v>
      </c>
      <c r="D60" s="679" t="n">
        <v>0</v>
      </c>
      <c r="E60" s="679" t="n">
        <f aca="false">'Pipeline Co BS'!D11</f>
        <v>0</v>
      </c>
      <c r="F60" s="679" t="n">
        <f aca="false">'Pipeline Co BS'!E11</f>
        <v>0</v>
      </c>
      <c r="G60" s="779" t="n">
        <f aca="false">'Pipeline Co BS'!F11</f>
        <v>0</v>
      </c>
      <c r="H60" s="736"/>
      <c r="I60" s="780" t="n">
        <f aca="false">G62</f>
        <v>0</v>
      </c>
      <c r="J60" s="677" t="n">
        <f aca="false">I62</f>
        <v>250000</v>
      </c>
      <c r="K60" s="677" t="n">
        <f aca="false">J62</f>
        <v>127436.313356164</v>
      </c>
      <c r="L60" s="677" t="n">
        <f aca="false">K62</f>
        <v>67689.0962864364</v>
      </c>
      <c r="M60" s="677" t="n">
        <f aca="false">L62</f>
        <v>17845.7754992941</v>
      </c>
      <c r="N60" s="677" t="n">
        <f aca="false">M62</f>
        <v>-22115.4638852563</v>
      </c>
      <c r="O60" s="677" t="n">
        <f aca="false">N62</f>
        <v>-52217.4686058077</v>
      </c>
      <c r="P60" s="677" t="n">
        <f aca="false">O62</f>
        <v>-72484.1481213181</v>
      </c>
      <c r="Q60" s="677" t="n">
        <f aca="false">P62</f>
        <v>-82940.5062886785</v>
      </c>
      <c r="R60" s="677" t="n">
        <f aca="false">Q62</f>
        <v>-83612.6738764778</v>
      </c>
      <c r="S60" s="677" t="n">
        <f aca="false">R62</f>
        <v>-74527.9419358559</v>
      </c>
    </row>
    <row r="61" customFormat="false" ht="12.75" hidden="false" customHeight="false" outlineLevel="0" collapsed="false">
      <c r="D61" s="508"/>
      <c r="E61" s="508"/>
      <c r="F61" s="508"/>
      <c r="G61" s="768"/>
      <c r="H61" s="737"/>
    </row>
    <row r="62" customFormat="false" ht="13.5" hidden="false" customHeight="false" outlineLevel="0" collapsed="false">
      <c r="A62" s="371" t="s">
        <v>497</v>
      </c>
      <c r="D62" s="637" t="n">
        <f aca="false">D58+D60</f>
        <v>0</v>
      </c>
      <c r="E62" s="637" t="n">
        <f aca="false">E58+E60</f>
        <v>0</v>
      </c>
      <c r="F62" s="637" t="n">
        <f aca="false">F58+F60</f>
        <v>0</v>
      </c>
      <c r="G62" s="775" t="n">
        <f aca="false">G58+G60</f>
        <v>0</v>
      </c>
      <c r="H62" s="745"/>
      <c r="I62" s="781" t="n">
        <f aca="false">I58+I60</f>
        <v>250000</v>
      </c>
      <c r="J62" s="746" t="n">
        <f aca="false">J58+J60</f>
        <v>127436.313356164</v>
      </c>
      <c r="K62" s="746" t="n">
        <f aca="false">K58+K60</f>
        <v>67689.0962864364</v>
      </c>
      <c r="L62" s="746" t="n">
        <f aca="false">L58+L60</f>
        <v>17845.7754992941</v>
      </c>
      <c r="M62" s="746" t="n">
        <f aca="false">M58+M60</f>
        <v>-22115.4638852563</v>
      </c>
      <c r="N62" s="746" t="n">
        <f aca="false">N58+N60</f>
        <v>-52217.4686058077</v>
      </c>
      <c r="O62" s="746" t="n">
        <f aca="false">O58+O60</f>
        <v>-72484.1481213181</v>
      </c>
      <c r="P62" s="746" t="n">
        <f aca="false">P58+P60</f>
        <v>-82940.5062886785</v>
      </c>
      <c r="Q62" s="746" t="n">
        <f aca="false">Q58+Q60</f>
        <v>-83612.6738764778</v>
      </c>
      <c r="R62" s="746" t="n">
        <f aca="false">R58+R60</f>
        <v>-74527.9419358559</v>
      </c>
      <c r="S62" s="746" t="n">
        <f aca="false">S58+S60</f>
        <v>-55714.7960498365</v>
      </c>
    </row>
    <row r="63" customFormat="false" ht="13.5" hidden="false" customHeight="false" outlineLevel="0" collapsed="false"/>
    <row r="65" customFormat="false" ht="15.75" hidden="false" customHeight="false" outlineLevel="0" collapsed="false">
      <c r="A65" s="497" t="s">
        <v>498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782"/>
    </row>
    <row r="66" customFormat="false" ht="15.75" hidden="false" customHeight="false" outlineLevel="0" collapsed="false">
      <c r="A66" s="501"/>
      <c r="B66" s="449"/>
      <c r="C66" s="449"/>
      <c r="D66" s="505"/>
      <c r="E66" s="505"/>
      <c r="F66" s="295"/>
      <c r="G66" s="306" t="s">
        <v>192</v>
      </c>
      <c r="H66" s="307"/>
      <c r="I66" s="103"/>
      <c r="J66" s="295"/>
      <c r="K66" s="295"/>
      <c r="L66" s="176"/>
      <c r="M66" s="295"/>
      <c r="N66" s="176"/>
      <c r="O66" s="176"/>
      <c r="P66" s="176"/>
      <c r="Q66" s="176"/>
      <c r="R66" s="103"/>
      <c r="S66" s="103"/>
    </row>
    <row r="67" customFormat="false" ht="15.75" hidden="false" customHeight="false" outlineLevel="0" collapsed="false">
      <c r="A67" s="501"/>
      <c r="B67" s="449"/>
      <c r="C67" s="449"/>
      <c r="D67" s="308" t="n">
        <v>1998</v>
      </c>
      <c r="E67" s="308" t="n">
        <v>1999</v>
      </c>
      <c r="F67" s="308" t="n">
        <v>2000</v>
      </c>
      <c r="G67" s="308" t="n">
        <v>2001</v>
      </c>
      <c r="H67" s="729"/>
      <c r="I67" s="309" t="s">
        <v>372</v>
      </c>
      <c r="J67" s="309" t="n">
        <v>2002</v>
      </c>
      <c r="K67" s="309" t="n">
        <v>2003</v>
      </c>
      <c r="L67" s="309" t="n">
        <v>2004</v>
      </c>
      <c r="M67" s="309" t="n">
        <v>2005</v>
      </c>
      <c r="N67" s="309" t="n">
        <v>2006</v>
      </c>
      <c r="O67" s="310" t="n">
        <v>2007</v>
      </c>
      <c r="P67" s="310" t="n">
        <v>2008</v>
      </c>
      <c r="Q67" s="310" t="n">
        <v>2009</v>
      </c>
      <c r="R67" s="310" t="n">
        <v>2010</v>
      </c>
      <c r="S67" s="441" t="n">
        <v>2011</v>
      </c>
    </row>
    <row r="68" customFormat="false" ht="12.75" hidden="false" customHeight="false" outlineLevel="0" collapsed="false">
      <c r="A68" s="449"/>
      <c r="B68" s="449"/>
      <c r="C68" s="449"/>
      <c r="D68" s="449"/>
      <c r="E68" s="449"/>
      <c r="F68" s="704" t="s">
        <v>193</v>
      </c>
      <c r="G68" s="308" t="n">
        <v>1</v>
      </c>
      <c r="H68" s="783"/>
      <c r="I68" s="309" t="n">
        <v>1</v>
      </c>
      <c r="J68" s="309" t="n">
        <v>2</v>
      </c>
      <c r="K68" s="309" t="n">
        <v>3</v>
      </c>
      <c r="L68" s="309" t="n">
        <v>4</v>
      </c>
      <c r="M68" s="309" t="n">
        <v>5</v>
      </c>
      <c r="N68" s="309" t="n">
        <v>6</v>
      </c>
      <c r="O68" s="309" t="n">
        <v>7</v>
      </c>
      <c r="P68" s="309" t="n">
        <v>8</v>
      </c>
      <c r="Q68" s="309" t="n">
        <v>9</v>
      </c>
      <c r="R68" s="309" t="n">
        <v>10</v>
      </c>
      <c r="S68" s="387" t="n">
        <v>11</v>
      </c>
    </row>
    <row r="69" customFormat="false" ht="12.75" hidden="false" customHeight="false" outlineLevel="0" collapsed="false">
      <c r="A69" s="371" t="s">
        <v>302</v>
      </c>
      <c r="B69" s="507"/>
      <c r="D69" s="669" t="n">
        <v>-85000</v>
      </c>
      <c r="E69" s="669" t="n">
        <v>-57000</v>
      </c>
      <c r="F69" s="669" t="n">
        <v>-129000</v>
      </c>
      <c r="G69" s="669" t="n">
        <f aca="false">-60000</f>
        <v>-60000</v>
      </c>
      <c r="J69" s="671" t="n">
        <f aca="false">G69*J73</f>
        <v>-60600</v>
      </c>
      <c r="K69" s="671" t="n">
        <f aca="false">J69*K73</f>
        <v>-61206</v>
      </c>
      <c r="L69" s="671" t="n">
        <f aca="false">K69*L73</f>
        <v>-61818.06</v>
      </c>
      <c r="M69" s="671" t="n">
        <f aca="false">L69*M73</f>
        <v>-62436.2406</v>
      </c>
      <c r="N69" s="671" t="n">
        <f aca="false">M69*N73</f>
        <v>-63060.603006</v>
      </c>
      <c r="O69" s="671" t="n">
        <f aca="false">N69*O73</f>
        <v>-63691.20903606</v>
      </c>
      <c r="P69" s="671" t="n">
        <f aca="false">O69*P73</f>
        <v>-64328.1211264206</v>
      </c>
      <c r="Q69" s="671" t="n">
        <f aca="false">P69*Q73</f>
        <v>-64971.4023376848</v>
      </c>
      <c r="R69" s="671" t="n">
        <f aca="false">Q69*R73</f>
        <v>-65621.1163610617</v>
      </c>
      <c r="S69" s="671" t="n">
        <f aca="false">R69*S73</f>
        <v>-66277.3275246723</v>
      </c>
    </row>
    <row r="70" customFormat="false" ht="12.75" hidden="false" customHeight="false" outlineLevel="0" collapsed="false">
      <c r="A70" s="784"/>
      <c r="B70" s="747"/>
      <c r="D70" s="678"/>
      <c r="E70" s="678"/>
      <c r="F70" s="678"/>
      <c r="G70" s="671"/>
      <c r="H70" s="671"/>
      <c r="J70" s="671"/>
      <c r="K70" s="671"/>
      <c r="L70" s="671"/>
      <c r="M70" s="671"/>
      <c r="N70" s="671"/>
      <c r="O70" s="671"/>
      <c r="P70" s="671"/>
      <c r="Q70" s="671"/>
      <c r="R70" s="671"/>
    </row>
    <row r="72" customFormat="false" ht="15.75" hidden="false" customHeight="false" outlineLevel="0" collapsed="false">
      <c r="A72" s="696" t="s">
        <v>351</v>
      </c>
      <c r="B72" s="131"/>
      <c r="C72" s="697"/>
      <c r="D72" s="698"/>
      <c r="E72" s="131"/>
      <c r="F72" s="699"/>
      <c r="G72" s="700"/>
      <c r="H72" s="700"/>
      <c r="I72" s="223"/>
      <c r="J72" s="700"/>
      <c r="K72" s="700"/>
      <c r="L72" s="700"/>
      <c r="M72" s="700"/>
      <c r="N72" s="700"/>
      <c r="O72" s="700"/>
      <c r="P72" s="700"/>
      <c r="Q72" s="700"/>
      <c r="R72" s="700"/>
      <c r="S72" s="782"/>
    </row>
    <row r="73" customFormat="false" ht="12.75" hidden="false" customHeight="false" outlineLevel="0" collapsed="false">
      <c r="A73" s="707" t="s">
        <v>317</v>
      </c>
      <c r="C73" s="270"/>
      <c r="D73" s="639"/>
      <c r="E73" s="449"/>
      <c r="F73" s="463"/>
      <c r="G73" s="701"/>
      <c r="J73" s="207" t="n">
        <v>1.01</v>
      </c>
      <c r="K73" s="207" t="n">
        <v>1.01</v>
      </c>
      <c r="L73" s="207" t="n">
        <v>1.01</v>
      </c>
      <c r="M73" s="207" t="n">
        <v>1.01</v>
      </c>
      <c r="N73" s="207" t="n">
        <v>1.01</v>
      </c>
      <c r="O73" s="207" t="n">
        <v>1.01</v>
      </c>
      <c r="P73" s="207" t="n">
        <v>1.01</v>
      </c>
      <c r="Q73" s="207" t="n">
        <v>1.01</v>
      </c>
      <c r="R73" s="207" t="n">
        <v>1.01</v>
      </c>
      <c r="S73" s="207" t="n">
        <v>1.01</v>
      </c>
    </row>
    <row r="74" customFormat="false" ht="12.75" hidden="false" customHeight="false" outlineLevel="0" collapsed="false">
      <c r="A74" s="707"/>
      <c r="B74" s="449"/>
      <c r="C74" s="274"/>
      <c r="D74" s="639"/>
      <c r="E74" s="449"/>
      <c r="F74" s="463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</row>
    <row r="75" customFormat="false" ht="12.75" hidden="false" customHeight="false" outlineLevel="0" collapsed="false">
      <c r="A75" s="707"/>
      <c r="B75" s="449"/>
      <c r="C75" s="274"/>
      <c r="D75" s="639"/>
      <c r="E75" s="449"/>
      <c r="F75" s="463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</row>
  </sheetData>
  <printOptions headings="false" gridLines="false" gridLinesSet="true" horizontalCentered="false" verticalCentered="false"/>
  <pageMargins left="0.170138888888889" right="0.170138888888889" top="0.709722222222222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22.99"/>
    <col collapsed="false" customWidth="true" hidden="false" outlineLevel="0" max="3" min="3" style="0" width="13.99"/>
    <col collapsed="false" customWidth="true" hidden="false" outlineLevel="0" max="4" min="4" style="0" width="10.56"/>
    <col collapsed="false" customWidth="true" hidden="false" outlineLevel="0" max="18" min="5" style="0" width="11.7"/>
  </cols>
  <sheetData>
    <row r="1" customFormat="false" ht="18" hidden="false" customHeight="false" outlineLevel="0" collapsed="false">
      <c r="A1" s="785" t="str">
        <f aca="false">Assumptions!D7</f>
        <v>Wolverine</v>
      </c>
      <c r="B1" s="786"/>
      <c r="C1" s="10"/>
      <c r="D1" s="10"/>
      <c r="E1" s="12"/>
    </row>
    <row r="2" customFormat="false" ht="16.5" hidden="false" customHeight="false" outlineLevel="0" collapsed="false">
      <c r="A2" s="59" t="s">
        <v>499</v>
      </c>
      <c r="B2" s="787"/>
      <c r="C2" s="28"/>
      <c r="D2" s="28"/>
      <c r="E2" s="30"/>
    </row>
    <row r="4" customFormat="false" ht="15.75" hidden="false" customHeight="false" outlineLevel="0" collapsed="false">
      <c r="A4" s="497" t="s">
        <v>499</v>
      </c>
      <c r="B4" s="130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</row>
    <row r="5" customFormat="false" ht="12.75" hidden="false" customHeight="false" outlineLevel="0" collapsed="false">
      <c r="A5" s="0" t="s">
        <v>500</v>
      </c>
      <c r="E5" s="505"/>
      <c r="F5" s="505"/>
      <c r="G5" s="295"/>
      <c r="H5" s="306" t="s">
        <v>192</v>
      </c>
      <c r="I5" s="307"/>
      <c r="J5" s="295"/>
      <c r="K5" s="295"/>
      <c r="L5" s="176"/>
      <c r="M5" s="295"/>
      <c r="N5" s="176"/>
      <c r="O5" s="176"/>
      <c r="P5" s="176"/>
      <c r="Q5" s="176"/>
      <c r="R5" s="103"/>
    </row>
    <row r="6" customFormat="false" ht="12.75" hidden="false" customHeight="false" outlineLevel="0" collapsed="false">
      <c r="A6" s="0" t="s">
        <v>501</v>
      </c>
      <c r="E6" s="308" t="n">
        <v>1998</v>
      </c>
      <c r="F6" s="308" t="n">
        <v>1999</v>
      </c>
      <c r="G6" s="308" t="n">
        <v>2000</v>
      </c>
      <c r="H6" s="308" t="n">
        <v>2001</v>
      </c>
      <c r="I6" s="309" t="n">
        <v>2002</v>
      </c>
      <c r="J6" s="309" t="n">
        <v>2003</v>
      </c>
      <c r="K6" s="309" t="n">
        <v>2004</v>
      </c>
      <c r="L6" s="309" t="n">
        <v>2005</v>
      </c>
      <c r="M6" s="309" t="n">
        <v>2006</v>
      </c>
      <c r="N6" s="310" t="n">
        <v>2007</v>
      </c>
      <c r="O6" s="310" t="n">
        <v>2008</v>
      </c>
      <c r="P6" s="310" t="n">
        <v>2009</v>
      </c>
      <c r="Q6" s="310" t="n">
        <v>2010</v>
      </c>
      <c r="R6" s="441" t="n">
        <v>2011</v>
      </c>
    </row>
    <row r="7" customFormat="false" ht="12.75" hidden="false" customHeight="false" outlineLevel="0" collapsed="false">
      <c r="D7" s="371" t="s">
        <v>502</v>
      </c>
      <c r="E7" s="449"/>
      <c r="F7" s="449"/>
      <c r="G7" s="704" t="s">
        <v>193</v>
      </c>
      <c r="H7" s="308" t="n">
        <v>1</v>
      </c>
      <c r="I7" s="309" t="n">
        <v>2</v>
      </c>
      <c r="J7" s="309" t="n">
        <v>3</v>
      </c>
      <c r="K7" s="309" t="n">
        <v>4</v>
      </c>
      <c r="L7" s="309" t="n">
        <v>5</v>
      </c>
      <c r="M7" s="309" t="n">
        <v>6</v>
      </c>
      <c r="N7" s="309" t="n">
        <v>7</v>
      </c>
      <c r="O7" s="309" t="n">
        <v>8</v>
      </c>
      <c r="P7" s="309" t="n">
        <v>9</v>
      </c>
      <c r="Q7" s="309" t="n">
        <v>10</v>
      </c>
      <c r="R7" s="387" t="n">
        <v>11</v>
      </c>
    </row>
    <row r="8" customFormat="false" ht="12.75" hidden="false" customHeight="false" outlineLevel="0" collapsed="false">
      <c r="A8" s="371" t="s">
        <v>503</v>
      </c>
      <c r="E8" s="449"/>
      <c r="F8" s="449"/>
      <c r="G8" s="704"/>
      <c r="H8" s="392"/>
      <c r="I8" s="393"/>
      <c r="J8" s="393"/>
      <c r="K8" s="393"/>
      <c r="L8" s="393"/>
      <c r="M8" s="393"/>
      <c r="N8" s="393"/>
      <c r="O8" s="393"/>
      <c r="P8" s="393"/>
      <c r="Q8" s="393"/>
      <c r="R8" s="404"/>
    </row>
    <row r="9" customFormat="false" ht="12.75" hidden="false" customHeight="false" outlineLevel="0" collapsed="false">
      <c r="B9" s="0" t="s">
        <v>504</v>
      </c>
      <c r="D9" s="788" t="n">
        <v>1</v>
      </c>
      <c r="E9" s="712"/>
      <c r="F9" s="789" t="n">
        <v>117600</v>
      </c>
      <c r="G9" s="789" t="n">
        <v>116600</v>
      </c>
      <c r="H9" s="540" t="n">
        <f aca="false">IF($D$9=1,G9*Curves!D17,0)</f>
        <v>118932</v>
      </c>
      <c r="I9" s="540" t="n">
        <f aca="false">IF($D$9=1,H9*Curves!E17,0)</f>
        <v>121310.64</v>
      </c>
      <c r="J9" s="540" t="n">
        <f aca="false">IF($D$9=1,I9*Curves!F17,0)</f>
        <v>123736.8528</v>
      </c>
      <c r="K9" s="540" t="n">
        <f aca="false">IF($D$9=1,J9*Curves!G17,0)</f>
        <v>126211.589856</v>
      </c>
      <c r="L9" s="540" t="n">
        <f aca="false">IF($D$9=1,K9*Curves!H17,0)</f>
        <v>128735.82165312</v>
      </c>
      <c r="M9" s="540" t="n">
        <f aca="false">IF($D$9=1,L9*Curves!I17,0)</f>
        <v>131310.538086182</v>
      </c>
      <c r="N9" s="540" t="n">
        <f aca="false">IF($D$9=1,M9*Curves!J17,0)</f>
        <v>133936.748847906</v>
      </c>
      <c r="O9" s="540" t="n">
        <f aca="false">IF($D$9=1,N9*Curves!K17,0)</f>
        <v>136615.483824864</v>
      </c>
      <c r="P9" s="540" t="n">
        <f aca="false">IF($D$9=1,O9*Curves!L17,0)</f>
        <v>139347.793501361</v>
      </c>
      <c r="Q9" s="540" t="n">
        <f aca="false">IF($D$9=1,P9*Curves!M17,0)</f>
        <v>142134.749371389</v>
      </c>
      <c r="R9" s="540" t="n">
        <f aca="false">IF($D$9=1,Q9*Curves!N17,0)</f>
        <v>144977.444358817</v>
      </c>
    </row>
    <row r="10" customFormat="false" ht="12.75" hidden="false" customHeight="false" outlineLevel="0" collapsed="false">
      <c r="B10" s="0" t="s">
        <v>505</v>
      </c>
      <c r="D10" s="790" t="n">
        <v>1</v>
      </c>
      <c r="E10" s="791"/>
      <c r="F10" s="789" t="n">
        <v>135900</v>
      </c>
      <c r="G10" s="789" t="n">
        <v>158600</v>
      </c>
      <c r="H10" s="540" t="n">
        <f aca="false">IF($D$10=1,G10*Curves!D18,0)</f>
        <v>163358</v>
      </c>
      <c r="I10" s="540" t="n">
        <f aca="false">IF($D$10=1,H10*Curves!E18,0)</f>
        <v>168258.74</v>
      </c>
      <c r="J10" s="540" t="n">
        <f aca="false">IF($D$10=1,I10*Curves!F18,0)</f>
        <v>173306.5022</v>
      </c>
      <c r="K10" s="540" t="n">
        <f aca="false">IF($D$10=1,J10*Curves!G18,0)</f>
        <v>180238.762288</v>
      </c>
      <c r="L10" s="540" t="n">
        <f aca="false">IF($D$10=1,K10*Curves!H18,0)</f>
        <v>189250.7004024</v>
      </c>
      <c r="M10" s="540" t="n">
        <f aca="false">IF($D$10=1,L10*Curves!I18,0)</f>
        <v>198713.23542252</v>
      </c>
      <c r="N10" s="540" t="n">
        <f aca="false">IF($D$10=1,M10*Curves!J18,0)</f>
        <v>208648.897193646</v>
      </c>
      <c r="O10" s="540" t="n">
        <f aca="false">IF($D$10=1,N10*Curves!K18,0)</f>
        <v>219081.342053328</v>
      </c>
      <c r="P10" s="540" t="n">
        <f aca="false">IF($D$10=1,O10*Curves!L18,0)</f>
        <v>230035.409155995</v>
      </c>
      <c r="Q10" s="540" t="n">
        <f aca="false">IF($D$10=1,P10*Curves!M18,0)</f>
        <v>236936.471430675</v>
      </c>
      <c r="R10" s="540" t="n">
        <f aca="false">IF($D$10=1,Q10*Curves!N18,0)</f>
        <v>244044.565573595</v>
      </c>
    </row>
    <row r="11" customFormat="false" ht="12.75" hidden="false" customHeight="false" outlineLevel="0" collapsed="false">
      <c r="A11" s="371" t="s">
        <v>506</v>
      </c>
      <c r="E11" s="510"/>
      <c r="F11" s="792"/>
      <c r="G11" s="792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customFormat="false" ht="12.75" hidden="false" customHeight="false" outlineLevel="0" collapsed="false">
      <c r="B12" s="0" t="s">
        <v>507</v>
      </c>
      <c r="D12" s="788" t="n">
        <v>1</v>
      </c>
      <c r="E12" s="510"/>
      <c r="F12" s="792"/>
      <c r="G12" s="792"/>
      <c r="H12" s="678" t="n">
        <f aca="false">IF(D12=1,5700*Curves!D25,0)</f>
        <v>5700</v>
      </c>
      <c r="I12" s="678" t="n">
        <f aca="false">IF(D12=1,68200*Curves!E25,0)</f>
        <v>68200</v>
      </c>
      <c r="J12" s="540" t="n">
        <f aca="false">IF($D$12=1,I12*Curves!F19*Curves!F25,0)</f>
        <v>68882</v>
      </c>
      <c r="K12" s="540" t="n">
        <f aca="false">IF($D$12=1,J12*Curves!G19*Curves!G25,0)</f>
        <v>69570.82</v>
      </c>
      <c r="L12" s="540" t="n">
        <f aca="false">IF($D$12=1,K12*Curves!H19*Curves!H25,0)</f>
        <v>70266.5282</v>
      </c>
      <c r="M12" s="540" t="n">
        <f aca="false">IF($D$12=1,L12*Curves!I19*Curves!I25,0)</f>
        <v>70969.193482</v>
      </c>
      <c r="N12" s="540" t="n">
        <f aca="false">IF($D$12=1,M12*Curves!J19*Curves!J25,0)</f>
        <v>71678.88541682</v>
      </c>
      <c r="O12" s="540" t="n">
        <f aca="false">IF($D$12=1,N12*Curves!K19*Curves!K25,0)</f>
        <v>72395.6742709882</v>
      </c>
      <c r="P12" s="540" t="n">
        <f aca="false">IF($D$12=1,O12*Curves!L19*Curves!L25,0)</f>
        <v>73119.6310136981</v>
      </c>
      <c r="Q12" s="540" t="n">
        <f aca="false">IF($D$12=1,P12*Curves!M19*Curves!M25,0)</f>
        <v>73850.8273238351</v>
      </c>
      <c r="R12" s="540" t="n">
        <f aca="false">IF($D$12=1,Q12*Curves!N19*Curves!N25,0)</f>
        <v>74589.3355970734</v>
      </c>
    </row>
    <row r="13" customFormat="false" ht="12.75" hidden="false" customHeight="false" outlineLevel="0" collapsed="false">
      <c r="B13" s="0" t="s">
        <v>508</v>
      </c>
      <c r="D13" s="793" t="n">
        <v>0</v>
      </c>
      <c r="E13" s="510"/>
      <c r="F13" s="792"/>
      <c r="G13" s="792"/>
      <c r="H13" s="678" t="n">
        <v>0</v>
      </c>
      <c r="I13" s="678" t="n">
        <f aca="false">IF(D13=1,38300*Curves!E26,0)</f>
        <v>0</v>
      </c>
      <c r="J13" s="678" t="n">
        <f aca="false">IF(D13=1,76700*Curves!F26,0)</f>
        <v>0</v>
      </c>
      <c r="K13" s="540" t="n">
        <f aca="false">IF($D$13=1,J13*Curves!G20*Curves!G26,0)</f>
        <v>0</v>
      </c>
      <c r="L13" s="540" t="n">
        <f aca="false">IF($D$13=1,K13*Curves!H20*Curves!H26,0)</f>
        <v>0</v>
      </c>
      <c r="M13" s="540" t="n">
        <f aca="false">IF($D$13=1,L13*Curves!I20*Curves!I26,0)</f>
        <v>0</v>
      </c>
      <c r="N13" s="540" t="n">
        <f aca="false">IF($D$13=1,M13*Curves!J20*Curves!J26,0)</f>
        <v>0</v>
      </c>
      <c r="O13" s="540" t="n">
        <f aca="false">IF($D$13=1,N13*Curves!K20*Curves!K26,0)</f>
        <v>0</v>
      </c>
      <c r="P13" s="540" t="n">
        <f aca="false">IF($D$13=1,O13*Curves!L20*Curves!L26,0)</f>
        <v>0</v>
      </c>
      <c r="Q13" s="540" t="n">
        <f aca="false">IF($D$13=1,P13*Curves!M20*Curves!M26,0)</f>
        <v>0</v>
      </c>
      <c r="R13" s="540" t="n">
        <f aca="false">IF($D$13=1,Q13*Curves!N20*Curves!N26,0)</f>
        <v>0</v>
      </c>
    </row>
    <row r="14" customFormat="false" ht="12.75" hidden="false" customHeight="false" outlineLevel="0" collapsed="false">
      <c r="B14" s="0" t="s">
        <v>509</v>
      </c>
      <c r="D14" s="790" t="n">
        <v>1</v>
      </c>
      <c r="E14" s="721"/>
      <c r="F14" s="794"/>
      <c r="G14" s="794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customFormat="false" ht="12.75" hidden="false" customHeight="false" outlineLevel="0" collapsed="false">
      <c r="A15" s="371" t="s">
        <v>510</v>
      </c>
      <c r="E15" s="513"/>
      <c r="F15" s="795" t="n">
        <f aca="false">SUM(F9:F14)</f>
        <v>253500</v>
      </c>
      <c r="G15" s="795" t="n">
        <f aca="false">SUM(G9:G14)</f>
        <v>275200</v>
      </c>
      <c r="H15" s="796" t="n">
        <f aca="false">SUM(H9:H14)</f>
        <v>287990</v>
      </c>
      <c r="I15" s="796" t="n">
        <f aca="false">SUM(I9:I14)</f>
        <v>357769.38</v>
      </c>
      <c r="J15" s="796" t="n">
        <f aca="false">SUM(J9:J14)</f>
        <v>365925.355</v>
      </c>
      <c r="K15" s="796" t="n">
        <f aca="false">SUM(K9:K14)</f>
        <v>376021.172144</v>
      </c>
      <c r="L15" s="796" t="n">
        <f aca="false">SUM(L9:L14)</f>
        <v>388253.05025552</v>
      </c>
      <c r="M15" s="796" t="n">
        <f aca="false">SUM(M9:M14)</f>
        <v>400992.966990702</v>
      </c>
      <c r="N15" s="796" t="n">
        <f aca="false">SUM(N9:N14)</f>
        <v>414264.531458372</v>
      </c>
      <c r="O15" s="796" t="n">
        <f aca="false">SUM(O9:O14)</f>
        <v>428092.500149181</v>
      </c>
      <c r="P15" s="796" t="n">
        <f aca="false">SUM(P9:P14)</f>
        <v>442502.833671054</v>
      </c>
      <c r="Q15" s="796" t="n">
        <f aca="false">SUM(Q9:Q14)</f>
        <v>452922.048125898</v>
      </c>
      <c r="R15" s="796" t="n">
        <f aca="false">SUM(R9:R14)</f>
        <v>463611.345529485</v>
      </c>
    </row>
    <row r="16" customFormat="false" ht="12.75" hidden="false" customHeight="false" outlineLevel="0" collapsed="false">
      <c r="D16" s="103"/>
      <c r="E16" s="508"/>
      <c r="F16" s="508"/>
      <c r="G16" s="508"/>
    </row>
    <row r="17" customFormat="false" ht="12.75" hidden="false" customHeight="false" outlineLevel="0" collapsed="false">
      <c r="A17" s="371" t="s">
        <v>511</v>
      </c>
      <c r="D17" s="790" t="n">
        <v>1</v>
      </c>
      <c r="E17" s="508"/>
      <c r="F17" s="508"/>
      <c r="G17" s="669" t="n">
        <v>117500</v>
      </c>
      <c r="H17" s="95" t="n">
        <f aca="false">IF($D$17=1,G17*Curves!D22,0)</f>
        <v>123375</v>
      </c>
      <c r="I17" s="95" t="n">
        <f aca="false">IF($D$17=1,H17*Curves!E22,0)</f>
        <v>129543.75</v>
      </c>
      <c r="J17" s="95" t="n">
        <f aca="false">IF($D$17=1,I17*Curves!F22,0)</f>
        <v>136020.9375</v>
      </c>
      <c r="K17" s="95" t="n">
        <f aca="false">IF($D$17=1,J17*Curves!G22,0)</f>
        <v>142821.984375</v>
      </c>
      <c r="L17" s="95" t="n">
        <f aca="false">IF($D$17=1,K17*Curves!H22,0)</f>
        <v>149963.08359375</v>
      </c>
      <c r="M17" s="95" t="n">
        <f aca="false">IF($D$17=1,L17*Curves!I22,0)</f>
        <v>157461.237773438</v>
      </c>
      <c r="N17" s="95" t="n">
        <f aca="false">IF($D$17=1,M17*Curves!J22,0)</f>
        <v>162185.074906641</v>
      </c>
      <c r="O17" s="95" t="n">
        <f aca="false">IF($D$17=1,N17*Curves!K22,0)</f>
        <v>167050.62715384</v>
      </c>
      <c r="P17" s="95" t="n">
        <f aca="false">IF($D$17=1,O17*Curves!L22,0)</f>
        <v>172062.145968455</v>
      </c>
      <c r="Q17" s="95" t="n">
        <f aca="false">IF($D$17=1,P17*Curves!M22,0)</f>
        <v>177224.010347509</v>
      </c>
      <c r="R17" s="95" t="n">
        <f aca="false">IF($D$17=1,Q17*Curves!N22,0)</f>
        <v>182540.730657934</v>
      </c>
    </row>
    <row r="18" customFormat="false" ht="12.75" hidden="false" customHeight="false" outlineLevel="0" collapsed="false">
      <c r="E18" s="449"/>
      <c r="F18" s="449"/>
      <c r="G18" s="449"/>
      <c r="H18" s="449"/>
    </row>
    <row r="19" customFormat="false" ht="12.75" hidden="false" customHeight="false" outlineLevel="0" collapsed="false">
      <c r="A19" s="375"/>
      <c r="B19" s="449"/>
      <c r="C19" s="449"/>
      <c r="D19" s="449"/>
      <c r="E19" s="449"/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</row>
    <row r="20" customFormat="false" ht="12.75" hidden="false" customHeight="false" outlineLevel="0" collapsed="false">
      <c r="A20" s="449"/>
      <c r="B20" s="449"/>
      <c r="C20" s="449"/>
      <c r="D20" s="449"/>
      <c r="E20" s="449"/>
      <c r="F20" s="449"/>
      <c r="G20" s="449"/>
      <c r="H20" s="797"/>
      <c r="I20" s="78"/>
      <c r="J20" s="78"/>
      <c r="K20" s="78"/>
      <c r="L20" s="78"/>
      <c r="M20" s="78"/>
      <c r="N20" s="78"/>
      <c r="O20" s="78"/>
      <c r="P20" s="78"/>
      <c r="Q20" s="78"/>
      <c r="R20" s="78"/>
    </row>
    <row r="21" customFormat="false" ht="12.75" hidden="false" customHeight="false" outlineLevel="0" collapsed="false">
      <c r="A21" s="449"/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</row>
    <row r="22" customFormat="false" ht="12.75" hidden="false" customHeight="false" outlineLevel="0" collapsed="false">
      <c r="A22" s="449"/>
      <c r="B22" s="449"/>
      <c r="C22" s="449"/>
      <c r="D22" s="449"/>
      <c r="E22" s="449"/>
      <c r="F22" s="449"/>
      <c r="G22" s="449"/>
      <c r="H22" s="798"/>
      <c r="I22" s="449"/>
      <c r="J22" s="449"/>
      <c r="K22" s="449"/>
      <c r="L22" s="449"/>
      <c r="M22" s="449"/>
      <c r="N22" s="449"/>
      <c r="O22" s="449"/>
      <c r="P22" s="449"/>
      <c r="Q22" s="449"/>
      <c r="R22" s="449"/>
    </row>
    <row r="23" customFormat="false" ht="12.75" hidden="false" customHeight="false" outlineLevel="0" collapsed="false">
      <c r="A23" s="449"/>
      <c r="B23" s="449"/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</row>
    <row r="24" customFormat="false" ht="12.75" hidden="false" customHeight="false" outlineLevel="0" collapsed="false">
      <c r="A24" s="449"/>
      <c r="B24" s="449"/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33"/>
  <sheetViews>
    <sheetView showFormulas="false" showGridLines="fals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L41" activeCellId="0" sqref="L41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32.56"/>
    <col collapsed="false" customWidth="true" hidden="false" outlineLevel="1" max="2" min="2" style="0" width="15.85"/>
    <col collapsed="false" customWidth="true" hidden="false" outlineLevel="1" max="3" min="3" style="0" width="12.85"/>
    <col collapsed="false" customWidth="true" hidden="false" outlineLevel="0" max="5" min="4" style="449" width="14.56"/>
    <col collapsed="false" customWidth="true" hidden="false" outlineLevel="0" max="6" min="6" style="449" width="15.7"/>
    <col collapsed="false" customWidth="true" hidden="false" outlineLevel="0" max="7" min="7" style="0" width="16.84"/>
    <col collapsed="false" customWidth="true" hidden="false" outlineLevel="0" max="9" min="8" style="0" width="14.99"/>
    <col collapsed="false" customWidth="true" hidden="false" outlineLevel="0" max="10" min="10" style="0" width="14.56"/>
    <col collapsed="false" customWidth="true" hidden="false" outlineLevel="0" max="11" min="11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20.25" hidden="false" customHeight="false" outlineLevel="0" collapsed="false">
      <c r="A1" s="57" t="str">
        <f aca="false">"Project "&amp;Assumptions!D7</f>
        <v>Project Wolverine</v>
      </c>
      <c r="B1" s="10"/>
      <c r="C1" s="12"/>
      <c r="D1" s="375"/>
      <c r="E1" s="375"/>
      <c r="F1" s="65" t="s">
        <v>50</v>
      </c>
      <c r="G1" s="607"/>
      <c r="H1" s="608"/>
    </row>
    <row r="2" customFormat="false" ht="15.75" hidden="false" customHeight="false" outlineLevel="0" collapsed="false">
      <c r="A2" s="799" t="str">
        <f aca="false">'Org Chart'!D5</f>
        <v>Consumers Energy</v>
      </c>
      <c r="B2" s="610"/>
      <c r="C2" s="19"/>
      <c r="D2" s="611"/>
      <c r="E2" s="611"/>
      <c r="F2" s="612"/>
      <c r="G2" s="138"/>
      <c r="H2" s="613"/>
      <c r="I2" s="138"/>
      <c r="R2" s="449"/>
    </row>
    <row r="3" customFormat="false" ht="16.5" hidden="false" customHeight="false" outlineLevel="0" collapsed="false">
      <c r="A3" s="800"/>
      <c r="B3" s="801"/>
      <c r="C3" s="30"/>
      <c r="D3" s="611"/>
      <c r="E3" s="611"/>
      <c r="F3" s="612"/>
      <c r="G3" s="17"/>
      <c r="H3" s="613"/>
      <c r="I3" s="138"/>
      <c r="R3" s="449"/>
    </row>
    <row r="4" customFormat="false" ht="13.5" hidden="false" customHeight="false" outlineLevel="0" collapsed="false">
      <c r="A4" s="615"/>
      <c r="B4" s="610"/>
      <c r="D4" s="611"/>
      <c r="E4" s="611"/>
      <c r="F4" s="616"/>
      <c r="G4" s="617"/>
      <c r="H4" s="618"/>
      <c r="I4" s="138"/>
      <c r="R4" s="449"/>
    </row>
    <row r="5" customFormat="false" ht="12.75" hidden="false" customHeight="false" outlineLevel="0" collapsed="false">
      <c r="A5" s="615"/>
      <c r="B5" s="610"/>
      <c r="D5" s="611"/>
      <c r="E5" s="611"/>
      <c r="F5" s="83"/>
      <c r="G5" s="138"/>
      <c r="H5" s="138"/>
      <c r="I5" s="138"/>
      <c r="R5" s="449"/>
    </row>
    <row r="6" customFormat="false" ht="15.75" hidden="false" customHeight="false" outlineLevel="0" collapsed="false">
      <c r="A6" s="497" t="s">
        <v>266</v>
      </c>
      <c r="B6" s="498"/>
      <c r="C6" s="131"/>
      <c r="D6" s="499"/>
      <c r="E6" s="499"/>
      <c r="F6" s="131"/>
      <c r="G6" s="500"/>
      <c r="H6" s="500"/>
      <c r="I6" s="500"/>
      <c r="J6" s="131"/>
      <c r="K6" s="131"/>
      <c r="L6" s="131"/>
      <c r="M6" s="131"/>
      <c r="N6" s="131"/>
      <c r="O6" s="131"/>
      <c r="P6" s="131"/>
      <c r="Q6" s="131"/>
      <c r="R6" s="503"/>
    </row>
    <row r="7" customFormat="false" ht="12.75" hidden="false" customHeight="false" outlineLevel="0" collapsed="false">
      <c r="D7" s="505"/>
      <c r="E7" s="505"/>
      <c r="F7" s="295"/>
      <c r="G7" s="306" t="s">
        <v>192</v>
      </c>
      <c r="H7" s="307"/>
      <c r="I7" s="295"/>
      <c r="J7" s="295"/>
      <c r="K7" s="176"/>
      <c r="L7" s="295"/>
      <c r="M7" s="176"/>
      <c r="N7" s="176"/>
      <c r="O7" s="176"/>
      <c r="P7" s="176"/>
      <c r="Q7" s="103"/>
      <c r="R7" s="619"/>
      <c r="S7" s="619"/>
    </row>
    <row r="8" customFormat="false" ht="12.75" hidden="false" customHeight="false" outlineLevel="0" collapsed="false">
      <c r="D8" s="308" t="n">
        <v>1998</v>
      </c>
      <c r="E8" s="308" t="n">
        <v>1999</v>
      </c>
      <c r="F8" s="308" t="n">
        <v>2000</v>
      </c>
      <c r="G8" s="308" t="n">
        <v>2001</v>
      </c>
      <c r="H8" s="309" t="n">
        <v>2002</v>
      </c>
      <c r="I8" s="309" t="n">
        <v>2003</v>
      </c>
      <c r="J8" s="309" t="n">
        <v>2004</v>
      </c>
      <c r="K8" s="309" t="n">
        <v>2005</v>
      </c>
      <c r="L8" s="309" t="n">
        <v>2006</v>
      </c>
      <c r="M8" s="310" t="n">
        <v>2007</v>
      </c>
      <c r="N8" s="310" t="n">
        <v>2008</v>
      </c>
      <c r="O8" s="310" t="n">
        <v>2009</v>
      </c>
      <c r="P8" s="310" t="n">
        <v>2010</v>
      </c>
      <c r="Q8" s="441" t="n">
        <v>2011</v>
      </c>
      <c r="R8" s="95"/>
      <c r="S8" s="95"/>
    </row>
    <row r="9" customFormat="false" ht="12.75" hidden="false" customHeight="false" outlineLevel="0" collapsed="false">
      <c r="F9" s="312" t="s">
        <v>193</v>
      </c>
      <c r="G9" s="308" t="n">
        <v>1</v>
      </c>
      <c r="H9" s="309" t="n">
        <v>2</v>
      </c>
      <c r="I9" s="309" t="n">
        <v>3</v>
      </c>
      <c r="J9" s="309" t="n">
        <v>4</v>
      </c>
      <c r="K9" s="309" t="n">
        <v>5</v>
      </c>
      <c r="L9" s="309" t="n">
        <v>6</v>
      </c>
      <c r="M9" s="309" t="n">
        <v>7</v>
      </c>
      <c r="N9" s="309" t="n">
        <v>8</v>
      </c>
      <c r="O9" s="309" t="n">
        <v>9</v>
      </c>
      <c r="P9" s="309" t="n">
        <v>10</v>
      </c>
      <c r="Q9" s="387" t="n">
        <v>11</v>
      </c>
      <c r="R9" s="95"/>
      <c r="S9" s="95"/>
    </row>
    <row r="10" customFormat="false" ht="12.75" hidden="false" customHeight="false" outlineLevel="0" collapsed="false">
      <c r="D10" s="611"/>
      <c r="E10" s="611"/>
      <c r="F10" s="95"/>
      <c r="G10" s="554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449"/>
    </row>
    <row r="11" customFormat="false" ht="12.75" hidden="false" customHeight="false" outlineLevel="0" collapsed="false">
      <c r="A11" s="621" t="s">
        <v>269</v>
      </c>
      <c r="B11" s="622"/>
      <c r="C11" s="623"/>
      <c r="D11" s="631" t="n">
        <f aca="false">D59</f>
        <v>3657</v>
      </c>
      <c r="E11" s="631" t="n">
        <f aca="false">E59</f>
        <v>3823</v>
      </c>
      <c r="F11" s="631" t="n">
        <f aca="false">F59</f>
        <v>3872</v>
      </c>
      <c r="G11" s="631" t="n">
        <f aca="false">G59</f>
        <v>4136</v>
      </c>
      <c r="H11" s="426" t="n">
        <f aca="false">H59</f>
        <v>4192.94</v>
      </c>
      <c r="I11" s="426" t="n">
        <f aca="false">I59</f>
        <v>4250.761</v>
      </c>
      <c r="J11" s="426" t="n">
        <f aca="false">J59</f>
        <v>4309.478042</v>
      </c>
      <c r="K11" s="426" t="n">
        <f aca="false">K59</f>
        <v>4369.10644306</v>
      </c>
      <c r="L11" s="426" t="n">
        <f aca="false">L59</f>
        <v>4429.6618005434</v>
      </c>
      <c r="M11" s="426" t="n">
        <f aca="false">M59</f>
        <v>4491.15999746269</v>
      </c>
      <c r="N11" s="426" t="n">
        <f aca="false">N59</f>
        <v>4553.61720792945</v>
      </c>
      <c r="O11" s="426" t="n">
        <f aca="false">O59</f>
        <v>4617.04990271072</v>
      </c>
      <c r="P11" s="426" t="n">
        <f aca="false">P59</f>
        <v>4681.47485489384</v>
      </c>
      <c r="Q11" s="426" t="n">
        <f aca="false">Q59</f>
        <v>4746.90914566192</v>
      </c>
      <c r="R11" s="449"/>
    </row>
    <row r="12" customFormat="false" ht="12.75" hidden="false" customHeight="false" outlineLevel="0" collapsed="false">
      <c r="D12" s="626"/>
      <c r="E12" s="626"/>
      <c r="F12" s="513"/>
      <c r="G12" s="627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449"/>
    </row>
    <row r="13" customFormat="false" ht="12.75" hidden="false" customHeight="false" outlineLevel="0" collapsed="false">
      <c r="A13" s="25" t="s">
        <v>314</v>
      </c>
      <c r="B13" s="628"/>
      <c r="C13" s="17"/>
      <c r="D13" s="631" t="n">
        <f aca="false">D83</f>
        <v>359</v>
      </c>
      <c r="E13" s="631" t="n">
        <f aca="false">E83</f>
        <v>406</v>
      </c>
      <c r="F13" s="631" t="n">
        <f aca="false">F83</f>
        <v>408</v>
      </c>
      <c r="G13" s="631" t="n">
        <f aca="false">G83</f>
        <v>342</v>
      </c>
      <c r="H13" s="426" t="n">
        <f aca="false">H83</f>
        <v>345.42</v>
      </c>
      <c r="I13" s="426" t="n">
        <f aca="false">I83</f>
        <v>348.8742</v>
      </c>
      <c r="J13" s="426" t="n">
        <f aca="false">J83</f>
        <v>352.362942</v>
      </c>
      <c r="K13" s="426" t="n">
        <f aca="false">K83</f>
        <v>355.88657142</v>
      </c>
      <c r="L13" s="426" t="n">
        <f aca="false">L83</f>
        <v>359.4454371342</v>
      </c>
      <c r="M13" s="426" t="n">
        <f aca="false">M83</f>
        <v>363.039891505542</v>
      </c>
      <c r="N13" s="426" t="n">
        <f aca="false">N83</f>
        <v>366.670290420598</v>
      </c>
      <c r="O13" s="426" t="n">
        <f aca="false">O83</f>
        <v>370.336993324804</v>
      </c>
      <c r="P13" s="426" t="n">
        <f aca="false">P83</f>
        <v>374.040363258052</v>
      </c>
      <c r="Q13" s="426" t="n">
        <f aca="false">Q83</f>
        <v>377.780766890632</v>
      </c>
      <c r="R13" s="449"/>
    </row>
    <row r="14" customFormat="false" ht="12.75" hidden="false" customHeight="false" outlineLevel="0" collapsed="false">
      <c r="A14" s="25"/>
      <c r="B14" s="628"/>
      <c r="C14" s="17"/>
      <c r="D14" s="802"/>
      <c r="E14" s="802"/>
      <c r="F14" s="802"/>
      <c r="G14" s="80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49"/>
    </row>
    <row r="15" customFormat="false" ht="12.75" hidden="false" customHeight="false" outlineLevel="0" collapsed="false">
      <c r="A15" s="25" t="s">
        <v>230</v>
      </c>
      <c r="B15" s="17"/>
      <c r="C15" s="17"/>
      <c r="D15" s="631" t="n">
        <f aca="false">(D11-D13)</f>
        <v>3298</v>
      </c>
      <c r="E15" s="631" t="n">
        <f aca="false">(E11-E13)</f>
        <v>3417</v>
      </c>
      <c r="F15" s="631" t="n">
        <f aca="false">(F11-F13)</f>
        <v>3464</v>
      </c>
      <c r="G15" s="631" t="n">
        <f aca="false">(G11-G13)</f>
        <v>3794</v>
      </c>
      <c r="H15" s="426" t="n">
        <f aca="false">(H11-H13)</f>
        <v>3847.52</v>
      </c>
      <c r="I15" s="426" t="n">
        <f aca="false">(I11-I13)</f>
        <v>3901.8868</v>
      </c>
      <c r="J15" s="426" t="n">
        <f aca="false">(J11-J13)</f>
        <v>3957.1151</v>
      </c>
      <c r="K15" s="426" t="n">
        <f aca="false">(K11-K13)</f>
        <v>4013.21987164</v>
      </c>
      <c r="L15" s="426" t="n">
        <f aca="false">(L11-L13)</f>
        <v>4070.2163634092</v>
      </c>
      <c r="M15" s="426" t="n">
        <f aca="false">(M11-M13)</f>
        <v>4128.12010595715</v>
      </c>
      <c r="N15" s="426" t="n">
        <f aca="false">(N11-N13)</f>
        <v>4186.94691750885</v>
      </c>
      <c r="O15" s="426" t="n">
        <f aca="false">(O11-O13)</f>
        <v>4246.71290938592</v>
      </c>
      <c r="P15" s="426" t="n">
        <f aca="false">(P11-P13)</f>
        <v>4307.43449163579</v>
      </c>
      <c r="Q15" s="426" t="n">
        <f aca="false">(Q11-Q13)</f>
        <v>4369.12837877129</v>
      </c>
      <c r="R15" s="449"/>
    </row>
    <row r="16" customFormat="false" ht="12.75" hidden="false" customHeight="false" outlineLevel="0" collapsed="false">
      <c r="A16" s="688" t="s">
        <v>512</v>
      </c>
      <c r="B16" s="53"/>
      <c r="C16" s="53"/>
      <c r="D16" s="523" t="n">
        <f aca="false">D11/D13</f>
        <v>10.1866295264624</v>
      </c>
      <c r="E16" s="523" t="n">
        <f aca="false">E11/E13</f>
        <v>9.41625615763547</v>
      </c>
      <c r="F16" s="523" t="n">
        <f aca="false">F11/F13</f>
        <v>9.49019607843137</v>
      </c>
      <c r="G16" s="523" t="n">
        <f aca="false">G11/G13</f>
        <v>12.093567251462</v>
      </c>
      <c r="H16" s="524" t="n">
        <f aca="false">H11/H13</f>
        <v>12.138671761913</v>
      </c>
      <c r="I16" s="524" t="n">
        <f aca="false">I11/I13</f>
        <v>12.1842228516755</v>
      </c>
      <c r="J16" s="524" t="n">
        <f aca="false">J11/J13</f>
        <v>12.2302249423267</v>
      </c>
      <c r="K16" s="524" t="n">
        <f aca="false">K11/K13</f>
        <v>12.2766824992219</v>
      </c>
      <c r="L16" s="524" t="n">
        <f aca="false">L11/L13</f>
        <v>12.323600031928</v>
      </c>
      <c r="M16" s="524" t="n">
        <f aca="false">M11/M13</f>
        <v>12.3709820946609</v>
      </c>
      <c r="N16" s="524" t="n">
        <f aca="false">N11/N13</f>
        <v>12.4188332867278</v>
      </c>
      <c r="O16" s="524" t="n">
        <f aca="false">O11/O13</f>
        <v>12.4671582529735</v>
      </c>
      <c r="P16" s="524" t="n">
        <f aca="false">P11/P13</f>
        <v>12.5159616842316</v>
      </c>
      <c r="Q16" s="524" t="n">
        <f aca="false">Q11/Q13</f>
        <v>12.5652483177794</v>
      </c>
      <c r="R16" s="449"/>
    </row>
    <row r="17" customFormat="false" ht="12.75" hidden="false" customHeight="false" outlineLevel="0" collapsed="false">
      <c r="A17" s="688" t="s">
        <v>513</v>
      </c>
      <c r="B17" s="53"/>
      <c r="C17" s="53"/>
      <c r="D17" s="803" t="n">
        <f aca="false">(D11-D13)/D11</f>
        <v>0.901832102816516</v>
      </c>
      <c r="E17" s="803" t="n">
        <f aca="false">(E11-E13)/E11</f>
        <v>0.893800680094167</v>
      </c>
      <c r="F17" s="803" t="n">
        <f aca="false">(F11-F13)/F11</f>
        <v>0.894628099173554</v>
      </c>
      <c r="G17" s="803" t="n">
        <f aca="false">(G11-G13)/G11</f>
        <v>0.917311411992263</v>
      </c>
      <c r="H17" s="689" t="n">
        <f aca="false">(H11-H13)/H11</f>
        <v>0.917618663753834</v>
      </c>
      <c r="I17" s="689" t="n">
        <f aca="false">(I11-I13)/I11</f>
        <v>0.917926648898868</v>
      </c>
      <c r="J17" s="689" t="n">
        <f aca="false">(J11-J13)/J11</f>
        <v>0.918235355055558</v>
      </c>
      <c r="K17" s="689" t="n">
        <f aca="false">(K11-K13)/K11</f>
        <v>0.918544769723956</v>
      </c>
      <c r="L17" s="689" t="n">
        <f aca="false">(L11-L13)/L11</f>
        <v>0.918854880277744</v>
      </c>
      <c r="M17" s="689" t="n">
        <f aca="false">(M11-M13)/M11</f>
        <v>0.919165673966048</v>
      </c>
      <c r="N17" s="689" t="n">
        <f aca="false">(N11-N13)/N11</f>
        <v>0.919477137915305</v>
      </c>
      <c r="O17" s="689" t="n">
        <f aca="false">(O11-O13)/O11</f>
        <v>0.919789259131166</v>
      </c>
      <c r="P17" s="689" t="n">
        <f aca="false">(P11-P13)/P11</f>
        <v>0.920102024500453</v>
      </c>
      <c r="Q17" s="689" t="n">
        <f aca="false">(Q11-Q13)/Q11</f>
        <v>0.920415420793154</v>
      </c>
      <c r="R17" s="449"/>
    </row>
    <row r="18" customFormat="false" ht="12.75" hidden="false" customHeight="false" outlineLevel="0" collapsed="false">
      <c r="D18" s="508"/>
      <c r="E18" s="508"/>
      <c r="F18" s="508"/>
      <c r="G18" s="508"/>
      <c r="R18" s="449"/>
    </row>
    <row r="19" customFormat="false" ht="12.75" hidden="false" customHeight="false" outlineLevel="0" collapsed="false">
      <c r="A19" s="371" t="s">
        <v>514</v>
      </c>
      <c r="D19" s="804" t="n">
        <v>-33</v>
      </c>
      <c r="E19" s="804" t="n">
        <v>18</v>
      </c>
      <c r="F19" s="805" t="n">
        <v>0</v>
      </c>
      <c r="G19" s="806" t="n">
        <v>0</v>
      </c>
      <c r="H19" s="428" t="n">
        <f aca="false">G19*Curves!E34</f>
        <v>0</v>
      </c>
      <c r="I19" s="428" t="n">
        <f aca="false">H19*Curves!F34</f>
        <v>0</v>
      </c>
      <c r="J19" s="428" t="n">
        <f aca="false">I19*Curves!G34</f>
        <v>0</v>
      </c>
      <c r="K19" s="428" t="n">
        <f aca="false">J19*Curves!H34</f>
        <v>0</v>
      </c>
      <c r="L19" s="428" t="n">
        <f aca="false">K19*Curves!I34</f>
        <v>0</v>
      </c>
      <c r="M19" s="428" t="n">
        <f aca="false">L19*Curves!J34</f>
        <v>0</v>
      </c>
      <c r="N19" s="428" t="n">
        <f aca="false">M19*Curves!K34</f>
        <v>0</v>
      </c>
      <c r="O19" s="428" t="n">
        <f aca="false">N19*Curves!L34</f>
        <v>0</v>
      </c>
      <c r="P19" s="428" t="n">
        <f aca="false">O19*Curves!M34</f>
        <v>0</v>
      </c>
      <c r="Q19" s="428" t="n">
        <f aca="false">P19*Curves!N34</f>
        <v>0</v>
      </c>
      <c r="R19" s="449"/>
    </row>
    <row r="20" customFormat="false" ht="12.75" hidden="false" customHeight="false" outlineLevel="0" collapsed="false">
      <c r="A20" s="371" t="s">
        <v>275</v>
      </c>
      <c r="D20" s="804" t="n">
        <v>0</v>
      </c>
      <c r="E20" s="804" t="n">
        <v>0</v>
      </c>
      <c r="F20" s="805" t="n">
        <v>0</v>
      </c>
      <c r="G20" s="806" t="n">
        <v>0</v>
      </c>
      <c r="H20" s="428" t="n">
        <f aca="false">G20</f>
        <v>0</v>
      </c>
      <c r="I20" s="428" t="n">
        <f aca="false">H20*Curves!F35</f>
        <v>0</v>
      </c>
      <c r="J20" s="428" t="n">
        <f aca="false">I20*Curves!G35</f>
        <v>0</v>
      </c>
      <c r="K20" s="428" t="n">
        <f aca="false">J20*Curves!H35</f>
        <v>0</v>
      </c>
      <c r="L20" s="428" t="n">
        <f aca="false">K20*Curves!I35</f>
        <v>0</v>
      </c>
      <c r="M20" s="428" t="n">
        <f aca="false">L20*Curves!J35</f>
        <v>0</v>
      </c>
      <c r="N20" s="428" t="n">
        <f aca="false">M20*Curves!K35</f>
        <v>0</v>
      </c>
      <c r="O20" s="428" t="n">
        <f aca="false">N20*Curves!L35</f>
        <v>0</v>
      </c>
      <c r="P20" s="428" t="n">
        <f aca="false">O20*Curves!M35</f>
        <v>0</v>
      </c>
      <c r="Q20" s="428" t="n">
        <f aca="false">P20*Curves!N35</f>
        <v>0</v>
      </c>
      <c r="R20" s="449"/>
    </row>
    <row r="21" customFormat="false" ht="12.75" hidden="false" customHeight="false" outlineLevel="0" collapsed="false">
      <c r="A21" s="371" t="s">
        <v>515</v>
      </c>
      <c r="B21" s="530"/>
      <c r="D21" s="804" t="n">
        <v>484</v>
      </c>
      <c r="E21" s="804" t="n">
        <v>595</v>
      </c>
      <c r="F21" s="805" t="n">
        <v>637</v>
      </c>
      <c r="G21" s="807" t="n">
        <f aca="false">269*2</f>
        <v>538</v>
      </c>
      <c r="H21" s="278" t="n">
        <f aca="false">H128</f>
        <v>717.476205872491</v>
      </c>
      <c r="I21" s="278" t="n">
        <f aca="false">I128</f>
        <v>734.976205872491</v>
      </c>
      <c r="J21" s="278" t="n">
        <f aca="false">J128</f>
        <v>747.226205872491</v>
      </c>
      <c r="K21" s="278" t="n">
        <f aca="false">K128</f>
        <v>759.632455872491</v>
      </c>
      <c r="L21" s="278" t="n">
        <f aca="false">L128</f>
        <v>772.197193372491</v>
      </c>
      <c r="M21" s="278" t="n">
        <f aca="false">M128</f>
        <v>784.922691747491</v>
      </c>
      <c r="N21" s="278" t="n">
        <f aca="false">N128</f>
        <v>797.811260876241</v>
      </c>
      <c r="O21" s="278" t="n">
        <f aca="false">O128</f>
        <v>810.865247781678</v>
      </c>
      <c r="P21" s="278" t="n">
        <f aca="false">P128</f>
        <v>824.087037283278</v>
      </c>
      <c r="Q21" s="278" t="n">
        <f aca="false">Q128</f>
        <v>837.479052661544</v>
      </c>
      <c r="R21" s="449"/>
    </row>
    <row r="22" customFormat="false" ht="12.75" hidden="false" customHeight="false" outlineLevel="0" collapsed="false">
      <c r="D22" s="808"/>
      <c r="E22" s="808"/>
      <c r="F22" s="809"/>
      <c r="G22" s="809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449"/>
    </row>
    <row r="23" customFormat="false" ht="12.75" hidden="false" customHeight="false" outlineLevel="0" collapsed="false">
      <c r="A23" s="25" t="s">
        <v>233</v>
      </c>
      <c r="B23" s="17"/>
      <c r="C23" s="17"/>
      <c r="D23" s="631" t="n">
        <f aca="false">D15+D19+D20-D21</f>
        <v>2781</v>
      </c>
      <c r="E23" s="631" t="n">
        <f aca="false">E15+E19+E20-E21</f>
        <v>2840</v>
      </c>
      <c r="F23" s="631" t="n">
        <f aca="false">F15+F19+F20-F21</f>
        <v>2827</v>
      </c>
      <c r="G23" s="631" t="n">
        <f aca="false">G15+G19+G20-G21</f>
        <v>3256</v>
      </c>
      <c r="H23" s="426" t="n">
        <f aca="false">H15+H19+H20-H21</f>
        <v>3130.04379412751</v>
      </c>
      <c r="I23" s="426" t="n">
        <f aca="false">I15+I19+I20-I21</f>
        <v>3166.91059412751</v>
      </c>
      <c r="J23" s="426" t="n">
        <f aca="false">J15+J19+J20-J21</f>
        <v>3209.88889412751</v>
      </c>
      <c r="K23" s="426" t="n">
        <f aca="false">K15+K19+K20-K21</f>
        <v>3253.58741576751</v>
      </c>
      <c r="L23" s="426" t="n">
        <f aca="false">L15+L19+L20-L21</f>
        <v>3298.01917003671</v>
      </c>
      <c r="M23" s="426" t="n">
        <f aca="false">M15+M19+M20-M21</f>
        <v>3343.19741420966</v>
      </c>
      <c r="N23" s="426" t="n">
        <f aca="false">N15+N19+N20-N21</f>
        <v>3389.13565663261</v>
      </c>
      <c r="O23" s="426" t="n">
        <f aca="false">O15+O19+O20-O21</f>
        <v>3435.84766160424</v>
      </c>
      <c r="P23" s="426" t="n">
        <f aca="false">P15+P19+P20-P21</f>
        <v>3483.34745435251</v>
      </c>
      <c r="Q23" s="426" t="n">
        <f aca="false">Q15+Q19+Q20-Q21</f>
        <v>3531.64932610974</v>
      </c>
      <c r="R23" s="449"/>
    </row>
    <row r="24" customFormat="false" ht="12.75" hidden="false" customHeight="false" outlineLevel="0" collapsed="false">
      <c r="D24" s="712"/>
      <c r="E24" s="712"/>
      <c r="F24" s="513"/>
      <c r="G24" s="513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449"/>
    </row>
    <row r="25" customFormat="false" ht="12.75" hidden="false" customHeight="false" outlineLevel="0" collapsed="false">
      <c r="A25" s="115" t="s">
        <v>329</v>
      </c>
      <c r="D25" s="712"/>
      <c r="E25" s="712"/>
      <c r="F25" s="513"/>
      <c r="G25" s="513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449"/>
    </row>
    <row r="26" customFormat="false" ht="12.75" hidden="false" customHeight="false" outlineLevel="0" collapsed="false">
      <c r="A26" s="811" t="s">
        <v>278</v>
      </c>
      <c r="D26" s="804" t="n">
        <v>100</v>
      </c>
      <c r="E26" s="804" t="n">
        <v>64</v>
      </c>
      <c r="F26" s="805" t="n">
        <v>60</v>
      </c>
      <c r="G26" s="806" t="n">
        <v>0</v>
      </c>
      <c r="H26" s="428" t="n">
        <f aca="false">G26</f>
        <v>0</v>
      </c>
      <c r="I26" s="428" t="n">
        <f aca="false">H26</f>
        <v>0</v>
      </c>
      <c r="J26" s="428" t="n">
        <f aca="false">I26</f>
        <v>0</v>
      </c>
      <c r="K26" s="428" t="n">
        <f aca="false">J26</f>
        <v>0</v>
      </c>
      <c r="L26" s="428" t="n">
        <f aca="false">K26</f>
        <v>0</v>
      </c>
      <c r="M26" s="428" t="n">
        <f aca="false">L26</f>
        <v>0</v>
      </c>
      <c r="N26" s="428" t="n">
        <f aca="false">M26</f>
        <v>0</v>
      </c>
      <c r="O26" s="428" t="n">
        <f aca="false">N26</f>
        <v>0</v>
      </c>
      <c r="P26" s="428" t="n">
        <f aca="false">O26</f>
        <v>0</v>
      </c>
      <c r="Q26" s="428" t="n">
        <f aca="false">P26</f>
        <v>0</v>
      </c>
      <c r="R26" s="449"/>
    </row>
    <row r="27" customFormat="false" ht="12.75" hidden="false" customHeight="false" outlineLevel="0" collapsed="false">
      <c r="A27" s="811" t="s">
        <v>279</v>
      </c>
      <c r="D27" s="812" t="n">
        <v>0</v>
      </c>
      <c r="E27" s="812" t="n">
        <v>0</v>
      </c>
      <c r="F27" s="813" t="n">
        <v>0</v>
      </c>
      <c r="G27" s="814" t="n">
        <v>0</v>
      </c>
      <c r="H27" s="815" t="n">
        <f aca="false">G27</f>
        <v>0</v>
      </c>
      <c r="I27" s="815" t="n">
        <f aca="false">H27</f>
        <v>0</v>
      </c>
      <c r="J27" s="815" t="n">
        <f aca="false">I27</f>
        <v>0</v>
      </c>
      <c r="K27" s="815" t="n">
        <f aca="false">J27</f>
        <v>0</v>
      </c>
      <c r="L27" s="815" t="n">
        <f aca="false">K27</f>
        <v>0</v>
      </c>
      <c r="M27" s="815" t="n">
        <f aca="false">L27</f>
        <v>0</v>
      </c>
      <c r="N27" s="815" t="n">
        <f aca="false">M27</f>
        <v>0</v>
      </c>
      <c r="O27" s="815" t="n">
        <f aca="false">N27</f>
        <v>0</v>
      </c>
      <c r="P27" s="815" t="n">
        <f aca="false">O27</f>
        <v>0</v>
      </c>
      <c r="Q27" s="815" t="n">
        <f aca="false">P27</f>
        <v>0</v>
      </c>
      <c r="R27" s="449"/>
    </row>
    <row r="28" customFormat="false" ht="12.75" hidden="false" customHeight="false" outlineLevel="0" collapsed="false">
      <c r="A28" s="548" t="s">
        <v>333</v>
      </c>
      <c r="B28" s="816" t="n">
        <f aca="false">Assumptions!D21</f>
        <v>0.385</v>
      </c>
      <c r="D28" s="770" t="n">
        <f aca="false">SUM(D26:D27)</f>
        <v>100</v>
      </c>
      <c r="E28" s="770" t="n">
        <f aca="false">SUM(E26:E27)</f>
        <v>64</v>
      </c>
      <c r="F28" s="770" t="n">
        <f aca="false">SUM(F26:F27)</f>
        <v>60</v>
      </c>
      <c r="G28" s="770" t="n">
        <f aca="false">SUM(G26:G27)</f>
        <v>0</v>
      </c>
      <c r="H28" s="426" t="n">
        <f aca="false">H23*$B$28</f>
        <v>1205.06686073909</v>
      </c>
      <c r="I28" s="426" t="n">
        <f aca="false">I23*$B$28</f>
        <v>1219.26057873909</v>
      </c>
      <c r="J28" s="426" t="n">
        <f aca="false">J23*$B$28</f>
        <v>1235.80722423909</v>
      </c>
      <c r="K28" s="426" t="n">
        <f aca="false">K23*$B$28</f>
        <v>1252.63115507049</v>
      </c>
      <c r="L28" s="426" t="n">
        <f aca="false">L23*$B$28</f>
        <v>1269.73738046413</v>
      </c>
      <c r="M28" s="426" t="n">
        <f aca="false">M23*$B$28</f>
        <v>1287.13100447072</v>
      </c>
      <c r="N28" s="426" t="n">
        <f aca="false">N23*$B$28</f>
        <v>1304.81722780356</v>
      </c>
      <c r="O28" s="426" t="n">
        <f aca="false">O23*$B$28</f>
        <v>1322.80134971763</v>
      </c>
      <c r="P28" s="426" t="n">
        <f aca="false">P23*$B$28</f>
        <v>1341.08876992572</v>
      </c>
      <c r="Q28" s="426" t="n">
        <f aca="false">Q23*$B$28</f>
        <v>1359.68499055225</v>
      </c>
      <c r="R28" s="449"/>
    </row>
    <row r="29" customFormat="false" ht="12.75" hidden="false" customHeight="false" outlineLevel="0" collapsed="false">
      <c r="A29" s="95"/>
      <c r="B29" s="160"/>
      <c r="D29" s="808"/>
      <c r="E29" s="808"/>
      <c r="F29" s="809"/>
      <c r="G29" s="809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449"/>
    </row>
    <row r="30" customFormat="false" ht="12.75" hidden="false" customHeight="false" outlineLevel="0" collapsed="false">
      <c r="A30" s="541" t="s">
        <v>237</v>
      </c>
      <c r="B30" s="140"/>
      <c r="C30" s="17"/>
      <c r="D30" s="631" t="n">
        <f aca="false">D23-D28</f>
        <v>2681</v>
      </c>
      <c r="E30" s="631" t="n">
        <f aca="false">E23-E28</f>
        <v>2776</v>
      </c>
      <c r="F30" s="631" t="n">
        <f aca="false">F23-F28</f>
        <v>2767</v>
      </c>
      <c r="G30" s="631" t="n">
        <f aca="false">G23-G28</f>
        <v>3256</v>
      </c>
      <c r="H30" s="426" t="n">
        <f aca="false">H23-H28</f>
        <v>1924.97693338842</v>
      </c>
      <c r="I30" s="426" t="n">
        <f aca="false">I23-I28</f>
        <v>1947.65001538842</v>
      </c>
      <c r="J30" s="426" t="n">
        <f aca="false">J23-J28</f>
        <v>1974.08166988842</v>
      </c>
      <c r="K30" s="426" t="n">
        <f aca="false">K23-K28</f>
        <v>2000.95626069702</v>
      </c>
      <c r="L30" s="426" t="n">
        <f aca="false">L23-L28</f>
        <v>2028.28178957258</v>
      </c>
      <c r="M30" s="426" t="n">
        <f aca="false">M23-M28</f>
        <v>2056.06640973894</v>
      </c>
      <c r="N30" s="426" t="n">
        <f aca="false">N23-N28</f>
        <v>2084.31842882906</v>
      </c>
      <c r="O30" s="426" t="n">
        <f aca="false">O23-O28</f>
        <v>2113.04631188661</v>
      </c>
      <c r="P30" s="426" t="n">
        <f aca="false">P23-P28</f>
        <v>2142.2586844268</v>
      </c>
      <c r="Q30" s="426" t="n">
        <f aca="false">Q23-Q28</f>
        <v>2171.96433555749</v>
      </c>
      <c r="R30" s="720" t="s">
        <v>230</v>
      </c>
    </row>
    <row r="31" customFormat="false" ht="12.75" hidden="false" customHeight="false" outlineLevel="0" collapsed="false">
      <c r="A31" s="95"/>
      <c r="B31" s="160"/>
      <c r="D31" s="712"/>
      <c r="E31" s="712"/>
      <c r="F31" s="513"/>
      <c r="G31" s="513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720" t="s">
        <v>516</v>
      </c>
    </row>
    <row r="32" customFormat="false" ht="12.75" hidden="false" customHeight="false" outlineLevel="0" collapsed="false">
      <c r="A32" s="541" t="s">
        <v>280</v>
      </c>
      <c r="B32" s="160"/>
      <c r="D32" s="806" t="n">
        <f aca="false">D30+D27+D21</f>
        <v>3165</v>
      </c>
      <c r="E32" s="806" t="n">
        <f aca="false">E30+E27+E21</f>
        <v>3371</v>
      </c>
      <c r="F32" s="806" t="n">
        <f aca="false">F30+F27+F21</f>
        <v>3404</v>
      </c>
      <c r="G32" s="806" t="n">
        <f aca="false">G30+G27+G21</f>
        <v>3794</v>
      </c>
      <c r="H32" s="428" t="n">
        <f aca="false">H30+H27+H21</f>
        <v>2642.45313926091</v>
      </c>
      <c r="I32" s="428" t="n">
        <f aca="false">I30+I27+I21</f>
        <v>2682.62622126091</v>
      </c>
      <c r="J32" s="428" t="n">
        <f aca="false">J30+J27+J21</f>
        <v>2721.30787576091</v>
      </c>
      <c r="K32" s="428" t="n">
        <f aca="false">K30+K27+K21</f>
        <v>2760.58871656951</v>
      </c>
      <c r="L32" s="428" t="n">
        <f aca="false">L30+L27+L21</f>
        <v>2800.47898294507</v>
      </c>
      <c r="M32" s="428" t="n">
        <f aca="false">M30+M27+M21</f>
        <v>2840.98910148643</v>
      </c>
      <c r="N32" s="428" t="n">
        <f aca="false">N30+N27+N21</f>
        <v>2882.1296897053</v>
      </c>
      <c r="O32" s="428" t="n">
        <f aca="false">O30+O27+O21</f>
        <v>2923.91155966829</v>
      </c>
      <c r="P32" s="428" t="n">
        <f aca="false">P30+P27+P21</f>
        <v>2966.34572171007</v>
      </c>
      <c r="Q32" s="428" t="n">
        <f aca="false">Q30+Q27+Q21</f>
        <v>3009.44338821903</v>
      </c>
      <c r="R32" s="720" t="s">
        <v>303</v>
      </c>
    </row>
    <row r="33" customFormat="false" ht="12.75" hidden="false" customHeight="false" outlineLevel="0" collapsed="false">
      <c r="A33" s="541" t="s">
        <v>243</v>
      </c>
      <c r="B33" s="817"/>
      <c r="D33" s="513" t="n">
        <f aca="false">D107</f>
        <v>0</v>
      </c>
      <c r="E33" s="513" t="n">
        <f aca="false">E107</f>
        <v>0</v>
      </c>
      <c r="F33" s="513" t="n">
        <f aca="false">F107</f>
        <v>0</v>
      </c>
      <c r="G33" s="806" t="n">
        <f aca="false">G107</f>
        <v>700</v>
      </c>
      <c r="H33" s="428" t="n">
        <f aca="false">H107</f>
        <v>700</v>
      </c>
      <c r="I33" s="428" t="n">
        <f aca="false">I107</f>
        <v>490</v>
      </c>
      <c r="J33" s="428" t="n">
        <f aca="false">J107</f>
        <v>496.25</v>
      </c>
      <c r="K33" s="428" t="n">
        <f aca="false">K107</f>
        <v>502.5895</v>
      </c>
      <c r="L33" s="428" t="n">
        <f aca="false">L107</f>
        <v>509.019935</v>
      </c>
      <c r="M33" s="428" t="n">
        <f aca="false">M107</f>
        <v>515.54276515</v>
      </c>
      <c r="N33" s="428" t="n">
        <f aca="false">N107</f>
        <v>522.1594762175</v>
      </c>
      <c r="O33" s="428" t="n">
        <f aca="false">O107</f>
        <v>528.871580063995</v>
      </c>
      <c r="P33" s="428" t="n">
        <f aca="false">P107</f>
        <v>535.680615130641</v>
      </c>
      <c r="Q33" s="428" t="n">
        <f aca="false">Q107</f>
        <v>542.588146933274</v>
      </c>
      <c r="R33" s="818" t="n">
        <f aca="false">Assumptions!E44</f>
        <v>12</v>
      </c>
    </row>
    <row r="34" customFormat="false" ht="12.75" hidden="false" customHeight="false" outlineLevel="0" collapsed="false">
      <c r="A34" s="95"/>
      <c r="B34" s="817"/>
      <c r="D34" s="513"/>
      <c r="E34" s="513"/>
      <c r="F34" s="513"/>
      <c r="G34" s="513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819"/>
    </row>
    <row r="35" customFormat="false" ht="27.75" hidden="false" customHeight="true" outlineLevel="0" collapsed="false">
      <c r="A35" s="820" t="s">
        <v>517</v>
      </c>
      <c r="B35" s="821"/>
      <c r="C35" s="821"/>
      <c r="D35" s="633" t="n">
        <f aca="false">D32-D33</f>
        <v>3165</v>
      </c>
      <c r="E35" s="633" t="n">
        <f aca="false">E32-E33</f>
        <v>3371</v>
      </c>
      <c r="F35" s="633" t="n">
        <f aca="false">F32-F33</f>
        <v>3404</v>
      </c>
      <c r="G35" s="633" t="n">
        <f aca="false">G32-G33</f>
        <v>3094</v>
      </c>
      <c r="H35" s="634" t="n">
        <f aca="false">H32-H33</f>
        <v>1942.45313926091</v>
      </c>
      <c r="I35" s="634" t="n">
        <f aca="false">I32-I33</f>
        <v>2192.62622126091</v>
      </c>
      <c r="J35" s="634" t="n">
        <f aca="false">J32-J33</f>
        <v>2225.05787576091</v>
      </c>
      <c r="K35" s="634" t="n">
        <f aca="false">K32-K33</f>
        <v>2257.99921656951</v>
      </c>
      <c r="L35" s="634" t="n">
        <f aca="false">L32-L33</f>
        <v>2291.45904794507</v>
      </c>
      <c r="M35" s="634" t="n">
        <f aca="false">M32-M33</f>
        <v>2325.44633633643</v>
      </c>
      <c r="N35" s="634" t="n">
        <f aca="false">N32-N33</f>
        <v>2359.9702134878</v>
      </c>
      <c r="O35" s="634" t="n">
        <f aca="false">O32-O33</f>
        <v>2395.03997960429</v>
      </c>
      <c r="P35" s="634" t="n">
        <f aca="false">P32-P33</f>
        <v>2430.66510657943</v>
      </c>
      <c r="Q35" s="634" t="n">
        <f aca="false">Q32-Q33</f>
        <v>2466.85524128576</v>
      </c>
      <c r="R35" s="822" t="n">
        <f aca="false">Q15*R37</f>
        <v>52429.5405452554</v>
      </c>
    </row>
    <row r="36" customFormat="false" ht="13.5" hidden="false" customHeight="false" outlineLevel="0" collapsed="false">
      <c r="A36" s="643"/>
      <c r="B36" s="17"/>
      <c r="C36" s="17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823"/>
    </row>
    <row r="37" customFormat="false" ht="12.75" hidden="false" customHeight="false" outlineLevel="0" collapsed="false">
      <c r="A37" s="643"/>
      <c r="B37" s="17"/>
      <c r="C37" s="17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641" t="n">
        <f aca="false">Scenarios!C5</f>
        <v>12</v>
      </c>
    </row>
    <row r="38" customFormat="false" ht="12.75" hidden="false" customHeight="false" outlineLevel="0" collapsed="false">
      <c r="A38" s="643"/>
      <c r="B38" s="17"/>
      <c r="C38" s="17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640" t="s">
        <v>518</v>
      </c>
    </row>
    <row r="39" customFormat="false" ht="13.5" hidden="false" customHeight="false" outlineLevel="0" collapsed="false"/>
    <row r="40" customFormat="false" ht="15" hidden="false" customHeight="false" outlineLevel="0" collapsed="false">
      <c r="F40" s="0"/>
      <c r="G40" s="824" t="s">
        <v>288</v>
      </c>
      <c r="H40" s="825" t="str">
        <f aca="false">(Assumptions!D14-1&amp;" EBITDA")</f>
        <v>2001 EBITDA</v>
      </c>
      <c r="I40" s="825" t="s">
        <v>307</v>
      </c>
      <c r="J40" s="826"/>
      <c r="K40" s="827" t="s">
        <v>289</v>
      </c>
      <c r="L40" s="827"/>
      <c r="M40" s="827"/>
      <c r="P40" s="95"/>
      <c r="Q40" s="95"/>
    </row>
    <row r="41" customFormat="false" ht="15" hidden="false" customHeight="false" outlineLevel="0" collapsed="false">
      <c r="F41" s="0"/>
      <c r="G41" s="828" t="s">
        <v>290</v>
      </c>
      <c r="H41" s="650" t="s">
        <v>94</v>
      </c>
      <c r="I41" s="650" t="s">
        <v>310</v>
      </c>
      <c r="J41" s="651"/>
      <c r="K41" s="829" t="n">
        <f aca="false">Asset3Drate-0.025</f>
        <v>0.1</v>
      </c>
      <c r="L41" s="830" t="n">
        <f aca="false">Scenarios!C6</f>
        <v>0.125</v>
      </c>
      <c r="M41" s="831" t="n">
        <f aca="false">Asset3Drate+0.025</f>
        <v>0.15</v>
      </c>
      <c r="P41" s="95"/>
      <c r="Q41" s="95"/>
    </row>
    <row r="42" customFormat="false" ht="12.75" hidden="false" customHeight="false" outlineLevel="0" collapsed="false">
      <c r="F42" s="511" t="s">
        <v>292</v>
      </c>
      <c r="G42" s="585"/>
      <c r="H42" s="655"/>
      <c r="I42" s="655"/>
      <c r="J42" s="586"/>
      <c r="K42" s="586"/>
      <c r="L42" s="586"/>
      <c r="M42" s="588"/>
      <c r="P42" s="95"/>
      <c r="Q42" s="95"/>
    </row>
    <row r="43" customFormat="false" ht="13.5" hidden="false" customHeight="false" outlineLevel="0" collapsed="false">
      <c r="F43" s="0" t="n">
        <f aca="false">IF(ABS(G43-L43)&lt;0.05,0,1)</f>
        <v>1</v>
      </c>
      <c r="G43" s="832" t="n">
        <v>27999.0482348996</v>
      </c>
      <c r="H43" s="833" t="n">
        <f aca="false">G43/F15</f>
        <v>8.08286611861998</v>
      </c>
      <c r="I43" s="834" t="str">
        <f aca="false">Assumptions!D41</f>
        <v>ETS</v>
      </c>
      <c r="J43" s="835"/>
      <c r="K43" s="836" t="n">
        <f aca="false">NPV(K41,$G$35:$R$35)</f>
        <v>32098.0738507336</v>
      </c>
      <c r="L43" s="836" t="n">
        <f aca="false">NPV(L41,$G$35:$R$35)</f>
        <v>26547.2083460017</v>
      </c>
      <c r="M43" s="594" t="n">
        <f aca="false">NPV(M41,$G$35:$R$35)</f>
        <v>22243.3982444668</v>
      </c>
      <c r="P43" s="95"/>
      <c r="Q43" s="95"/>
      <c r="R43" s="95"/>
    </row>
    <row r="44" customFormat="false" ht="12.75" hidden="false" customHeight="false" outlineLevel="0" collapsed="false">
      <c r="F44" s="0"/>
      <c r="G44" s="95"/>
      <c r="H44" s="663"/>
      <c r="I44" s="663"/>
      <c r="J44" s="95"/>
      <c r="K44" s="95"/>
      <c r="L44" s="664"/>
      <c r="M44" s="95"/>
      <c r="P44" s="95"/>
      <c r="Q44" s="95"/>
      <c r="R44" s="95"/>
    </row>
    <row r="45" customFormat="false" ht="12.75" hidden="false" customHeight="false" outlineLevel="0" collapsed="false">
      <c r="F45" s="95"/>
      <c r="G45" s="95"/>
      <c r="H45" s="95"/>
      <c r="I45" s="95"/>
      <c r="J45" s="95"/>
      <c r="K45" s="95"/>
      <c r="L45" s="95"/>
      <c r="N45" s="95"/>
      <c r="O45" s="95"/>
      <c r="P45" s="95"/>
      <c r="Q45" s="95"/>
    </row>
    <row r="46" customFormat="false" ht="12.75" hidden="false" customHeight="false" outlineLevel="0" collapsed="false">
      <c r="D46" s="95"/>
      <c r="E46" s="95"/>
      <c r="F46" s="95"/>
      <c r="G46" s="95"/>
      <c r="H46" s="95"/>
      <c r="I46" s="449"/>
      <c r="J46" s="449"/>
      <c r="K46" s="449"/>
      <c r="L46" s="449"/>
      <c r="M46" s="449"/>
      <c r="N46" s="449"/>
      <c r="O46" s="449"/>
      <c r="P46" s="449"/>
      <c r="Q46" s="449"/>
    </row>
    <row r="47" customFormat="false" ht="15.75" hidden="false" customHeight="false" outlineLevel="0" collapsed="false">
      <c r="A47" s="497" t="s">
        <v>344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449"/>
    </row>
    <row r="48" customFormat="false" ht="12.75" hidden="false" customHeight="false" outlineLevel="0" collapsed="false">
      <c r="D48" s="505"/>
      <c r="E48" s="505"/>
      <c r="F48" s="295"/>
      <c r="G48" s="306" t="s">
        <v>192</v>
      </c>
      <c r="H48" s="307"/>
      <c r="I48" s="295"/>
      <c r="J48" s="295"/>
      <c r="K48" s="176"/>
      <c r="L48" s="295"/>
      <c r="M48" s="176"/>
      <c r="N48" s="176"/>
      <c r="O48" s="176"/>
      <c r="P48" s="176"/>
      <c r="Q48" s="103"/>
      <c r="R48" s="449"/>
    </row>
    <row r="49" customFormat="false" ht="12.75" hidden="false" customHeight="false" outlineLevel="0" collapsed="false">
      <c r="D49" s="308" t="n">
        <v>1998</v>
      </c>
      <c r="E49" s="308" t="n">
        <v>1999</v>
      </c>
      <c r="F49" s="308" t="n">
        <v>2000</v>
      </c>
      <c r="G49" s="308" t="n">
        <v>2001</v>
      </c>
      <c r="H49" s="309" t="n">
        <v>2002</v>
      </c>
      <c r="I49" s="309" t="n">
        <v>2003</v>
      </c>
      <c r="J49" s="309" t="n">
        <v>2004</v>
      </c>
      <c r="K49" s="309" t="n">
        <v>2005</v>
      </c>
      <c r="L49" s="309" t="n">
        <v>2006</v>
      </c>
      <c r="M49" s="310" t="n">
        <v>2007</v>
      </c>
      <c r="N49" s="310" t="n">
        <v>2008</v>
      </c>
      <c r="O49" s="310" t="n">
        <v>2009</v>
      </c>
      <c r="P49" s="310" t="n">
        <v>2010</v>
      </c>
      <c r="Q49" s="690" t="n">
        <v>2011</v>
      </c>
      <c r="R49" s="449"/>
    </row>
    <row r="50" customFormat="false" ht="12.75" hidden="false" customHeight="false" outlineLevel="0" collapsed="false">
      <c r="B50" s="507" t="s">
        <v>268</v>
      </c>
      <c r="C50" s="270"/>
      <c r="F50" s="463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449"/>
    </row>
    <row r="51" customFormat="false" ht="12.75" hidden="false" customHeight="false" outlineLevel="0" collapsed="false">
      <c r="A51" s="371" t="s">
        <v>519</v>
      </c>
      <c r="B51" s="644" t="n">
        <v>1</v>
      </c>
      <c r="C51" s="270"/>
      <c r="D51" s="837" t="n">
        <f aca="false">$B$51*2606</f>
        <v>2606</v>
      </c>
      <c r="E51" s="837" t="n">
        <f aca="false">$B$51*2667</f>
        <v>2667</v>
      </c>
      <c r="F51" s="837" t="n">
        <f aca="false">$B$51*2676</f>
        <v>2676</v>
      </c>
      <c r="G51" s="837" t="n">
        <f aca="false">$B$51*2*1289</f>
        <v>2578</v>
      </c>
      <c r="H51" s="428" t="n">
        <f aca="false">G51*H62</f>
        <v>2603.78</v>
      </c>
      <c r="I51" s="428" t="n">
        <f aca="false">H51*I62</f>
        <v>2629.8178</v>
      </c>
      <c r="J51" s="428" t="n">
        <f aca="false">I51*J62</f>
        <v>2656.115978</v>
      </c>
      <c r="K51" s="428" t="n">
        <f aca="false">J51*K62</f>
        <v>2682.67713778</v>
      </c>
      <c r="L51" s="428" t="n">
        <f aca="false">K51*L62</f>
        <v>2709.5039091578</v>
      </c>
      <c r="M51" s="428" t="n">
        <f aca="false">L51*M62</f>
        <v>2736.59894824938</v>
      </c>
      <c r="N51" s="428" t="n">
        <f aca="false">M51*N62</f>
        <v>2763.96493773187</v>
      </c>
      <c r="O51" s="428" t="n">
        <f aca="false">N51*O62</f>
        <v>2791.60458710919</v>
      </c>
      <c r="P51" s="428" t="n">
        <f aca="false">O51*P62</f>
        <v>2819.52063298028</v>
      </c>
      <c r="Q51" s="428" t="n">
        <f aca="false">P51*Q62</f>
        <v>2847.71583931009</v>
      </c>
      <c r="R51" s="449"/>
    </row>
    <row r="52" customFormat="false" ht="12.75" hidden="false" customHeight="false" outlineLevel="0" collapsed="false">
      <c r="A52" s="705" t="s">
        <v>520</v>
      </c>
      <c r="B52" s="644" t="n">
        <v>1</v>
      </c>
      <c r="C52" s="270"/>
      <c r="D52" s="837" t="n">
        <f aca="false">$B$52*1051</f>
        <v>1051</v>
      </c>
      <c r="E52" s="837" t="n">
        <f aca="false">$B$52*1156</f>
        <v>1156</v>
      </c>
      <c r="F52" s="837" t="n">
        <f aca="false">$B$52*1196</f>
        <v>1196</v>
      </c>
      <c r="G52" s="837" t="n">
        <f aca="false">$B$52*2*779</f>
        <v>1558</v>
      </c>
      <c r="H52" s="428" t="n">
        <f aca="false">G52*H63</f>
        <v>1589.16</v>
      </c>
      <c r="I52" s="428" t="n">
        <f aca="false">H52*I63</f>
        <v>1620.9432</v>
      </c>
      <c r="J52" s="428" t="n">
        <f aca="false">I52*J63</f>
        <v>1653.362064</v>
      </c>
      <c r="K52" s="428" t="n">
        <f aca="false">J52*K63</f>
        <v>1686.42930528</v>
      </c>
      <c r="L52" s="428" t="n">
        <f aca="false">K52*L63</f>
        <v>1720.1578913856</v>
      </c>
      <c r="M52" s="428" t="n">
        <f aca="false">L52*M63</f>
        <v>1754.56104921331</v>
      </c>
      <c r="N52" s="428" t="n">
        <f aca="false">M52*N63</f>
        <v>1789.65227019758</v>
      </c>
      <c r="O52" s="428" t="n">
        <f aca="false">N52*O63</f>
        <v>1825.44531560153</v>
      </c>
      <c r="P52" s="428" t="n">
        <f aca="false">O52*P63</f>
        <v>1861.95422191356</v>
      </c>
      <c r="Q52" s="428" t="n">
        <f aca="false">P52*Q63</f>
        <v>1899.19330635183</v>
      </c>
      <c r="R52" s="449"/>
    </row>
    <row r="53" customFormat="false" ht="12.75" hidden="false" customHeight="false" outlineLevel="0" collapsed="false">
      <c r="A53" s="705" t="s">
        <v>521</v>
      </c>
      <c r="B53" s="644" t="n">
        <v>0</v>
      </c>
      <c r="C53" s="270"/>
      <c r="D53" s="837" t="n">
        <f aca="false">$B$53*160</f>
        <v>0</v>
      </c>
      <c r="E53" s="837" t="n">
        <f aca="false">$B$53*785</f>
        <v>0</v>
      </c>
      <c r="F53" s="837" t="n">
        <f aca="false">$B$53*906</f>
        <v>0</v>
      </c>
      <c r="G53" s="837" t="n">
        <f aca="false">$B$53*2*649</f>
        <v>0</v>
      </c>
      <c r="H53" s="428" t="n">
        <f aca="false">G53*H64</f>
        <v>0</v>
      </c>
      <c r="I53" s="428" t="n">
        <f aca="false">H53*I64</f>
        <v>0</v>
      </c>
      <c r="J53" s="428" t="n">
        <f aca="false">I53*J64</f>
        <v>0</v>
      </c>
      <c r="K53" s="428" t="n">
        <f aca="false">J53*K64</f>
        <v>0</v>
      </c>
      <c r="L53" s="428" t="n">
        <f aca="false">K53*L64</f>
        <v>0</v>
      </c>
      <c r="M53" s="428" t="n">
        <f aca="false">L53*M64</f>
        <v>0</v>
      </c>
      <c r="N53" s="428" t="n">
        <f aca="false">M53*N64</f>
        <v>0</v>
      </c>
      <c r="O53" s="428" t="n">
        <f aca="false">N53*O64</f>
        <v>0</v>
      </c>
      <c r="P53" s="428" t="n">
        <f aca="false">O53*P64</f>
        <v>0</v>
      </c>
      <c r="Q53" s="428" t="n">
        <f aca="false">P53*Q64</f>
        <v>0</v>
      </c>
      <c r="R53" s="449"/>
    </row>
    <row r="54" customFormat="false" ht="12.75" hidden="false" customHeight="false" outlineLevel="0" collapsed="false">
      <c r="A54" s="371" t="s">
        <v>522</v>
      </c>
      <c r="B54" s="644" t="n">
        <v>0</v>
      </c>
      <c r="C54" s="270"/>
      <c r="D54" s="837" t="n">
        <f aca="false">$B$54*277</f>
        <v>0</v>
      </c>
      <c r="E54" s="837" t="n">
        <f aca="false">$B$54*390</f>
        <v>0</v>
      </c>
      <c r="F54" s="837" t="n">
        <f aca="false">$B$54*500</f>
        <v>0</v>
      </c>
      <c r="G54" s="837" t="n">
        <f aca="false">$B$54*2*216</f>
        <v>0</v>
      </c>
      <c r="H54" s="428" t="n">
        <f aca="false">G54*H65</f>
        <v>0</v>
      </c>
      <c r="I54" s="428" t="n">
        <f aca="false">H54*I65</f>
        <v>0</v>
      </c>
      <c r="J54" s="428" t="n">
        <f aca="false">I54*J65</f>
        <v>0</v>
      </c>
      <c r="K54" s="428" t="n">
        <f aca="false">J54*K65</f>
        <v>0</v>
      </c>
      <c r="L54" s="428" t="n">
        <f aca="false">K54*L65</f>
        <v>0</v>
      </c>
      <c r="M54" s="428" t="n">
        <f aca="false">L54*M65</f>
        <v>0</v>
      </c>
      <c r="N54" s="428" t="n">
        <f aca="false">M54*N65</f>
        <v>0</v>
      </c>
      <c r="O54" s="428" t="n">
        <f aca="false">N54*O65</f>
        <v>0</v>
      </c>
      <c r="P54" s="428" t="n">
        <f aca="false">O54*P65</f>
        <v>0</v>
      </c>
      <c r="Q54" s="428" t="n">
        <f aca="false">P54*Q65</f>
        <v>0</v>
      </c>
      <c r="R54" s="449"/>
    </row>
    <row r="55" customFormat="false" ht="12.75" hidden="false" customHeight="false" outlineLevel="0" collapsed="false">
      <c r="A55" s="371" t="s">
        <v>523</v>
      </c>
      <c r="B55" s="644" t="n">
        <v>0</v>
      </c>
      <c r="C55" s="270"/>
      <c r="D55" s="837" t="n">
        <f aca="false">$B$55*63</f>
        <v>0</v>
      </c>
      <c r="E55" s="837" t="n">
        <f aca="false">$B$55*98</f>
        <v>0</v>
      </c>
      <c r="F55" s="837" t="n">
        <f aca="false">$B$55*131</f>
        <v>0</v>
      </c>
      <c r="G55" s="837" t="n">
        <f aca="false">$B$55*2*96</f>
        <v>0</v>
      </c>
      <c r="H55" s="428" t="n">
        <f aca="false">G55*H66</f>
        <v>0</v>
      </c>
      <c r="I55" s="428" t="n">
        <f aca="false">H55*I66</f>
        <v>0</v>
      </c>
      <c r="J55" s="428" t="n">
        <f aca="false">I55*J66</f>
        <v>0</v>
      </c>
      <c r="K55" s="428" t="n">
        <f aca="false">J55*K66</f>
        <v>0</v>
      </c>
      <c r="L55" s="428" t="n">
        <f aca="false">K55*L66</f>
        <v>0</v>
      </c>
      <c r="M55" s="428" t="n">
        <f aca="false">L55*M66</f>
        <v>0</v>
      </c>
      <c r="N55" s="428" t="n">
        <f aca="false">M55*N66</f>
        <v>0</v>
      </c>
      <c r="O55" s="428" t="n">
        <f aca="false">N55*O66</f>
        <v>0</v>
      </c>
      <c r="P55" s="428" t="n">
        <f aca="false">O55*P66</f>
        <v>0</v>
      </c>
      <c r="Q55" s="428" t="n">
        <f aca="false">P55*Q66</f>
        <v>0</v>
      </c>
      <c r="R55" s="449"/>
    </row>
    <row r="56" customFormat="false" ht="12.75" hidden="false" customHeight="false" outlineLevel="0" collapsed="false">
      <c r="A56" s="705" t="s">
        <v>524</v>
      </c>
      <c r="B56" s="644" t="n">
        <v>0</v>
      </c>
      <c r="C56" s="270"/>
      <c r="D56" s="837" t="n">
        <f aca="false">$B$56*939</f>
        <v>0</v>
      </c>
      <c r="E56" s="837" t="n">
        <f aca="false">$B$56*799</f>
        <v>0</v>
      </c>
      <c r="F56" s="837" t="n">
        <f aca="false">$B$56*3294</f>
        <v>0</v>
      </c>
      <c r="G56" s="837" t="n">
        <f aca="false">$B$56*2*5433</f>
        <v>0</v>
      </c>
      <c r="H56" s="428" t="n">
        <f aca="false">G56*H67</f>
        <v>0</v>
      </c>
      <c r="I56" s="428" t="n">
        <f aca="false">H56*I67</f>
        <v>0</v>
      </c>
      <c r="J56" s="428" t="n">
        <f aca="false">I56*J67</f>
        <v>0</v>
      </c>
      <c r="K56" s="428" t="n">
        <f aca="false">J56*K67</f>
        <v>0</v>
      </c>
      <c r="L56" s="428" t="n">
        <f aca="false">K56*L67</f>
        <v>0</v>
      </c>
      <c r="M56" s="428" t="n">
        <f aca="false">L56*M67</f>
        <v>0</v>
      </c>
      <c r="N56" s="428" t="n">
        <f aca="false">M56*N67</f>
        <v>0</v>
      </c>
      <c r="O56" s="428" t="n">
        <f aca="false">N56*O67</f>
        <v>0</v>
      </c>
      <c r="P56" s="428" t="n">
        <f aca="false">O56*P67</f>
        <v>0</v>
      </c>
      <c r="Q56" s="428" t="n">
        <f aca="false">P56*Q67</f>
        <v>0</v>
      </c>
      <c r="R56" s="449"/>
    </row>
    <row r="57" customFormat="false" ht="12.75" hidden="false" customHeight="false" outlineLevel="0" collapsed="false">
      <c r="A57" s="705" t="s">
        <v>525</v>
      </c>
      <c r="B57" s="644" t="n">
        <v>0</v>
      </c>
      <c r="C57" s="270"/>
      <c r="D57" s="837" t="n">
        <f aca="false">$B$57*30</f>
        <v>0</v>
      </c>
      <c r="E57" s="837" t="n">
        <f aca="false">$B$57*177</f>
        <v>0</v>
      </c>
      <c r="F57" s="837" t="n">
        <f aca="false">$B$57*265</f>
        <v>0</v>
      </c>
      <c r="G57" s="837" t="n">
        <f aca="false">$B$57*2*72</f>
        <v>0</v>
      </c>
      <c r="H57" s="428" t="n">
        <f aca="false">G57*H68</f>
        <v>0</v>
      </c>
      <c r="I57" s="428" t="n">
        <f aca="false">H57*I68</f>
        <v>0</v>
      </c>
      <c r="J57" s="428" t="n">
        <f aca="false">I57*J68</f>
        <v>0</v>
      </c>
      <c r="K57" s="428" t="n">
        <f aca="false">J57*K68</f>
        <v>0</v>
      </c>
      <c r="L57" s="428" t="n">
        <f aca="false">K57*L68</f>
        <v>0</v>
      </c>
      <c r="M57" s="428" t="n">
        <f aca="false">L57*M68</f>
        <v>0</v>
      </c>
      <c r="N57" s="428" t="n">
        <f aca="false">M57*N68</f>
        <v>0</v>
      </c>
      <c r="O57" s="428" t="n">
        <f aca="false">N57*O68</f>
        <v>0</v>
      </c>
      <c r="P57" s="428" t="n">
        <f aca="false">O57*P68</f>
        <v>0</v>
      </c>
      <c r="Q57" s="428" t="n">
        <f aca="false">P57*Q68</f>
        <v>0</v>
      </c>
      <c r="R57" s="449"/>
    </row>
    <row r="58" customFormat="false" ht="12.75" hidden="false" customHeight="false" outlineLevel="0" collapsed="false">
      <c r="A58" s="838" t="s">
        <v>347</v>
      </c>
      <c r="B58" s="839" t="n">
        <v>0</v>
      </c>
      <c r="C58" s="840"/>
      <c r="D58" s="841" t="n">
        <f aca="false">$B$58*15</f>
        <v>0</v>
      </c>
      <c r="E58" s="841" t="n">
        <f aca="false">$B$58*31</f>
        <v>0</v>
      </c>
      <c r="F58" s="841" t="n">
        <f aca="false">$B$58*30</f>
        <v>0</v>
      </c>
      <c r="G58" s="841" t="n">
        <f aca="false">$B$58*2*13</f>
        <v>0</v>
      </c>
      <c r="H58" s="815" t="n">
        <f aca="false">G58*H69</f>
        <v>0</v>
      </c>
      <c r="I58" s="815" t="n">
        <f aca="false">H58*I69</f>
        <v>0</v>
      </c>
      <c r="J58" s="815" t="n">
        <f aca="false">I58*J69</f>
        <v>0</v>
      </c>
      <c r="K58" s="815" t="n">
        <f aca="false">J58*K69</f>
        <v>0</v>
      </c>
      <c r="L58" s="815" t="n">
        <f aca="false">K58*L69</f>
        <v>0</v>
      </c>
      <c r="M58" s="815" t="n">
        <f aca="false">L58*M69</f>
        <v>0</v>
      </c>
      <c r="N58" s="815" t="n">
        <f aca="false">M58*N69</f>
        <v>0</v>
      </c>
      <c r="O58" s="815" t="n">
        <f aca="false">N58*O69</f>
        <v>0</v>
      </c>
      <c r="P58" s="815" t="n">
        <f aca="false">O58*P69</f>
        <v>0</v>
      </c>
      <c r="Q58" s="815" t="n">
        <f aca="false">P58*Q69</f>
        <v>0</v>
      </c>
      <c r="R58" s="449"/>
    </row>
    <row r="59" customFormat="false" ht="12.75" hidden="false" customHeight="false" outlineLevel="0" collapsed="false">
      <c r="A59" s="842" t="s">
        <v>526</v>
      </c>
      <c r="B59" s="78"/>
      <c r="C59" s="270"/>
      <c r="D59" s="631" t="n">
        <f aca="false">SUM(D51:D58)</f>
        <v>3657</v>
      </c>
      <c r="E59" s="631" t="n">
        <f aca="false">SUM(E51:E58)</f>
        <v>3823</v>
      </c>
      <c r="F59" s="631" t="n">
        <f aca="false">SUM(F51:F58)</f>
        <v>3872</v>
      </c>
      <c r="G59" s="631" t="n">
        <f aca="false">SUM(G51:G58)</f>
        <v>4136</v>
      </c>
      <c r="H59" s="426" t="n">
        <f aca="false">SUM(H51:H58)</f>
        <v>4192.94</v>
      </c>
      <c r="I59" s="426" t="n">
        <f aca="false">SUM(I51:I58)</f>
        <v>4250.761</v>
      </c>
      <c r="J59" s="426" t="n">
        <f aca="false">SUM(J51:J58)</f>
        <v>4309.478042</v>
      </c>
      <c r="K59" s="426" t="n">
        <f aca="false">SUM(K51:K58)</f>
        <v>4369.10644306</v>
      </c>
      <c r="L59" s="426" t="n">
        <f aca="false">SUM(L51:L58)</f>
        <v>4429.6618005434</v>
      </c>
      <c r="M59" s="426" t="n">
        <f aca="false">SUM(M51:M58)</f>
        <v>4491.15999746269</v>
      </c>
      <c r="N59" s="426" t="n">
        <f aca="false">SUM(N51:N58)</f>
        <v>4553.61720792945</v>
      </c>
      <c r="O59" s="426" t="n">
        <f aca="false">SUM(O51:O58)</f>
        <v>4617.04990271072</v>
      </c>
      <c r="P59" s="426" t="n">
        <f aca="false">SUM(P51:P58)</f>
        <v>4681.47485489384</v>
      </c>
      <c r="Q59" s="426" t="n">
        <f aca="false">SUM(Q51:Q58)</f>
        <v>4746.90914566192</v>
      </c>
      <c r="R59" s="449"/>
    </row>
    <row r="60" customFormat="false" ht="12.75" hidden="false" customHeight="false" outlineLevel="0" collapsed="false">
      <c r="C60" s="270"/>
      <c r="D60" s="639"/>
      <c r="F60" s="463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449"/>
    </row>
    <row r="61" customFormat="false" ht="15.75" hidden="false" customHeight="false" outlineLevel="0" collapsed="false">
      <c r="A61" s="696" t="s">
        <v>351</v>
      </c>
      <c r="B61" s="131"/>
      <c r="C61" s="697"/>
      <c r="D61" s="698"/>
      <c r="E61" s="131"/>
      <c r="F61" s="699"/>
      <c r="G61" s="700"/>
      <c r="H61" s="700"/>
      <c r="I61" s="700"/>
      <c r="J61" s="700"/>
      <c r="K61" s="700"/>
      <c r="L61" s="700"/>
      <c r="M61" s="700"/>
      <c r="N61" s="700"/>
      <c r="O61" s="700"/>
      <c r="P61" s="700"/>
      <c r="Q61" s="700"/>
      <c r="R61" s="503"/>
    </row>
    <row r="62" customFormat="false" ht="12.75" hidden="false" customHeight="false" outlineLevel="0" collapsed="false">
      <c r="A62" s="371" t="s">
        <v>519</v>
      </c>
      <c r="C62" s="270"/>
      <c r="D62" s="639"/>
      <c r="F62" s="463"/>
      <c r="G62" s="701"/>
      <c r="H62" s="207" t="n">
        <v>1.01</v>
      </c>
      <c r="I62" s="207" t="n">
        <v>1.01</v>
      </c>
      <c r="J62" s="207" t="n">
        <v>1.01</v>
      </c>
      <c r="K62" s="207" t="n">
        <v>1.01</v>
      </c>
      <c r="L62" s="207" t="n">
        <v>1.01</v>
      </c>
      <c r="M62" s="207" t="n">
        <v>1.01</v>
      </c>
      <c r="N62" s="207" t="n">
        <v>1.01</v>
      </c>
      <c r="O62" s="207" t="n">
        <v>1.01</v>
      </c>
      <c r="P62" s="207" t="n">
        <v>1.01</v>
      </c>
      <c r="Q62" s="207" t="n">
        <v>1.01</v>
      </c>
      <c r="R62" s="449"/>
    </row>
    <row r="63" customFormat="false" ht="12.75" hidden="false" customHeight="false" outlineLevel="0" collapsed="false">
      <c r="A63" s="705" t="s">
        <v>520</v>
      </c>
      <c r="C63" s="270"/>
      <c r="D63" s="639"/>
      <c r="F63" s="463"/>
      <c r="G63" s="701"/>
      <c r="H63" s="207" t="n">
        <v>1.02</v>
      </c>
      <c r="I63" s="207" t="n">
        <v>1.02</v>
      </c>
      <c r="J63" s="207" t="n">
        <v>1.02</v>
      </c>
      <c r="K63" s="207" t="n">
        <v>1.02</v>
      </c>
      <c r="L63" s="207" t="n">
        <v>1.02</v>
      </c>
      <c r="M63" s="207" t="n">
        <v>1.02</v>
      </c>
      <c r="N63" s="207" t="n">
        <v>1.02</v>
      </c>
      <c r="O63" s="207" t="n">
        <v>1.02</v>
      </c>
      <c r="P63" s="207" t="n">
        <v>1.02</v>
      </c>
      <c r="Q63" s="207" t="n">
        <v>1.02</v>
      </c>
      <c r="R63" s="449"/>
    </row>
    <row r="64" customFormat="false" ht="12.75" hidden="false" customHeight="false" outlineLevel="0" collapsed="false">
      <c r="A64" s="705" t="s">
        <v>521</v>
      </c>
      <c r="C64" s="270"/>
      <c r="D64" s="639"/>
      <c r="F64" s="463"/>
      <c r="G64" s="701"/>
      <c r="H64" s="207" t="n">
        <v>1.03</v>
      </c>
      <c r="I64" s="207" t="n">
        <v>1.03</v>
      </c>
      <c r="J64" s="207" t="n">
        <v>1.03</v>
      </c>
      <c r="K64" s="207" t="n">
        <v>1.03</v>
      </c>
      <c r="L64" s="207" t="n">
        <v>1.03</v>
      </c>
      <c r="M64" s="207" t="n">
        <v>1.03</v>
      </c>
      <c r="N64" s="207" t="n">
        <v>1.03</v>
      </c>
      <c r="O64" s="207" t="n">
        <v>1.03</v>
      </c>
      <c r="P64" s="207" t="n">
        <v>1.03</v>
      </c>
      <c r="Q64" s="207" t="n">
        <v>1.03</v>
      </c>
      <c r="R64" s="449"/>
    </row>
    <row r="65" customFormat="false" ht="12.75" hidden="false" customHeight="false" outlineLevel="0" collapsed="false">
      <c r="A65" s="371" t="s">
        <v>522</v>
      </c>
      <c r="C65" s="270"/>
      <c r="D65" s="639"/>
      <c r="F65" s="463"/>
      <c r="G65" s="701"/>
      <c r="H65" s="207" t="n">
        <v>1.02</v>
      </c>
      <c r="I65" s="207" t="n">
        <v>1.02</v>
      </c>
      <c r="J65" s="207" t="n">
        <v>1.02</v>
      </c>
      <c r="K65" s="207" t="n">
        <v>1.02</v>
      </c>
      <c r="L65" s="207" t="n">
        <v>1.02</v>
      </c>
      <c r="M65" s="207" t="n">
        <v>1.02</v>
      </c>
      <c r="N65" s="207" t="n">
        <v>1.02</v>
      </c>
      <c r="O65" s="207" t="n">
        <v>1.02</v>
      </c>
      <c r="P65" s="207" t="n">
        <v>1.02</v>
      </c>
      <c r="Q65" s="207" t="n">
        <v>1.02</v>
      </c>
      <c r="R65" s="449"/>
    </row>
    <row r="66" customFormat="false" ht="12.75" hidden="false" customHeight="false" outlineLevel="0" collapsed="false">
      <c r="A66" s="371" t="s">
        <v>527</v>
      </c>
      <c r="C66" s="270"/>
      <c r="D66" s="639"/>
      <c r="F66" s="463"/>
      <c r="G66" s="701"/>
      <c r="H66" s="207" t="n">
        <v>1.03</v>
      </c>
      <c r="I66" s="207" t="n">
        <v>1.03</v>
      </c>
      <c r="J66" s="207" t="n">
        <v>1.03</v>
      </c>
      <c r="K66" s="207" t="n">
        <v>1.03</v>
      </c>
      <c r="L66" s="207" t="n">
        <v>1.03</v>
      </c>
      <c r="M66" s="207" t="n">
        <v>1.03</v>
      </c>
      <c r="N66" s="207" t="n">
        <v>1.03</v>
      </c>
      <c r="O66" s="207" t="n">
        <v>1.03</v>
      </c>
      <c r="P66" s="207" t="n">
        <v>1.03</v>
      </c>
      <c r="Q66" s="207" t="n">
        <v>1.03</v>
      </c>
      <c r="R66" s="449"/>
    </row>
    <row r="67" customFormat="false" ht="12.75" hidden="false" customHeight="false" outlineLevel="0" collapsed="false">
      <c r="A67" s="705" t="s">
        <v>524</v>
      </c>
      <c r="C67" s="270"/>
      <c r="D67" s="639"/>
      <c r="F67" s="463"/>
      <c r="G67" s="701"/>
      <c r="H67" s="207" t="n">
        <v>1.25</v>
      </c>
      <c r="I67" s="207" t="n">
        <v>1.25</v>
      </c>
      <c r="J67" s="207" t="n">
        <v>1.15</v>
      </c>
      <c r="K67" s="207" t="n">
        <v>1.15</v>
      </c>
      <c r="L67" s="207" t="n">
        <v>1.05</v>
      </c>
      <c r="M67" s="207" t="n">
        <v>1.05</v>
      </c>
      <c r="N67" s="207" t="n">
        <v>0.95</v>
      </c>
      <c r="O67" s="207" t="n">
        <v>0.95</v>
      </c>
      <c r="P67" s="207" t="n">
        <v>0.85</v>
      </c>
      <c r="Q67" s="207" t="n">
        <v>0.85</v>
      </c>
      <c r="R67" s="449"/>
    </row>
    <row r="68" customFormat="false" ht="12.75" hidden="false" customHeight="false" outlineLevel="0" collapsed="false">
      <c r="A68" s="705" t="s">
        <v>525</v>
      </c>
      <c r="C68" s="270"/>
      <c r="D68" s="639"/>
      <c r="F68" s="463"/>
      <c r="G68" s="701"/>
      <c r="H68" s="207" t="n">
        <v>1.01</v>
      </c>
      <c r="I68" s="207" t="n">
        <v>1.01</v>
      </c>
      <c r="J68" s="207" t="n">
        <v>1.01</v>
      </c>
      <c r="K68" s="207" t="n">
        <v>1.01</v>
      </c>
      <c r="L68" s="207" t="n">
        <v>1.01</v>
      </c>
      <c r="M68" s="207" t="n">
        <v>1.01</v>
      </c>
      <c r="N68" s="207" t="n">
        <v>1.01</v>
      </c>
      <c r="O68" s="207" t="n">
        <v>1.01</v>
      </c>
      <c r="P68" s="207" t="n">
        <v>1.01</v>
      </c>
      <c r="Q68" s="207" t="n">
        <v>1.01</v>
      </c>
      <c r="R68" s="449"/>
    </row>
    <row r="69" customFormat="false" ht="12.75" hidden="false" customHeight="false" outlineLevel="0" collapsed="false">
      <c r="A69" s="621" t="s">
        <v>347</v>
      </c>
      <c r="C69" s="270"/>
      <c r="D69" s="639"/>
      <c r="F69" s="463"/>
      <c r="G69" s="701"/>
      <c r="H69" s="207" t="n">
        <v>1.01</v>
      </c>
      <c r="I69" s="207" t="n">
        <v>1.01</v>
      </c>
      <c r="J69" s="207" t="n">
        <v>1.01</v>
      </c>
      <c r="K69" s="207" t="n">
        <v>1.01</v>
      </c>
      <c r="L69" s="207" t="n">
        <v>1.01</v>
      </c>
      <c r="M69" s="207" t="n">
        <v>1.01</v>
      </c>
      <c r="N69" s="207" t="n">
        <v>1.01</v>
      </c>
      <c r="O69" s="207" t="n">
        <v>1.01</v>
      </c>
      <c r="P69" s="207" t="n">
        <v>1.01</v>
      </c>
      <c r="Q69" s="207" t="n">
        <v>1.01</v>
      </c>
      <c r="R69" s="449"/>
    </row>
    <row r="70" customFormat="false" ht="12.75" hidden="false" customHeight="false" outlineLevel="0" collapsed="false">
      <c r="R70" s="449"/>
    </row>
    <row r="71" customFormat="false" ht="12.75" hidden="false" customHeight="false" outlineLevel="0" collapsed="false">
      <c r="R71" s="449"/>
    </row>
    <row r="72" customFormat="false" ht="15.75" hidden="false" customHeight="false" outlineLevel="0" collapsed="false">
      <c r="A72" s="497" t="s">
        <v>352</v>
      </c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449"/>
    </row>
    <row r="73" customFormat="false" ht="14.25" hidden="false" customHeight="true" outlineLevel="0" collapsed="false">
      <c r="A73" s="501"/>
      <c r="B73" s="449"/>
      <c r="C73" s="449"/>
      <c r="D73" s="505"/>
      <c r="E73" s="505"/>
      <c r="F73" s="295"/>
      <c r="G73" s="306" t="s">
        <v>192</v>
      </c>
      <c r="H73" s="307"/>
      <c r="I73" s="295"/>
      <c r="J73" s="295"/>
      <c r="K73" s="176"/>
      <c r="L73" s="295"/>
      <c r="M73" s="176"/>
      <c r="N73" s="176"/>
      <c r="O73" s="176"/>
      <c r="P73" s="176"/>
      <c r="Q73" s="103"/>
      <c r="R73" s="449"/>
    </row>
    <row r="74" customFormat="false" ht="15.75" hidden="false" customHeight="false" outlineLevel="0" collapsed="false">
      <c r="A74" s="501"/>
      <c r="B74" s="507" t="s">
        <v>268</v>
      </c>
      <c r="C74" s="449"/>
      <c r="D74" s="308" t="n">
        <v>1998</v>
      </c>
      <c r="E74" s="308" t="n">
        <v>1999</v>
      </c>
      <c r="F74" s="308" t="n">
        <v>2000</v>
      </c>
      <c r="G74" s="308" t="n">
        <v>2001</v>
      </c>
      <c r="H74" s="309" t="n">
        <v>2002</v>
      </c>
      <c r="I74" s="309" t="n">
        <v>2003</v>
      </c>
      <c r="J74" s="309" t="n">
        <v>2004</v>
      </c>
      <c r="K74" s="309" t="n">
        <v>2005</v>
      </c>
      <c r="L74" s="309" t="n">
        <v>2006</v>
      </c>
      <c r="M74" s="310" t="n">
        <v>2007</v>
      </c>
      <c r="N74" s="310" t="n">
        <v>2008</v>
      </c>
      <c r="O74" s="310" t="n">
        <v>2009</v>
      </c>
      <c r="P74" s="310" t="n">
        <v>2010</v>
      </c>
      <c r="Q74" s="441" t="n">
        <v>2011</v>
      </c>
      <c r="R74" s="449"/>
    </row>
    <row r="75" customFormat="false" ht="12.75" hidden="false" customHeight="false" outlineLevel="0" collapsed="false">
      <c r="A75" s="371" t="s">
        <v>528</v>
      </c>
      <c r="B75" s="644" t="n">
        <v>1</v>
      </c>
      <c r="C75" s="17"/>
      <c r="D75" s="837" t="n">
        <f aca="false">$B$75*359</f>
        <v>359</v>
      </c>
      <c r="E75" s="837" t="n">
        <f aca="false">$B$75*406</f>
        <v>406</v>
      </c>
      <c r="F75" s="837" t="n">
        <f aca="false">$B$75*408</f>
        <v>408</v>
      </c>
      <c r="G75" s="837" t="n">
        <f aca="false">$B$75*2*171</f>
        <v>342</v>
      </c>
      <c r="H75" s="428" t="n">
        <f aca="false">G75*H86</f>
        <v>345.42</v>
      </c>
      <c r="I75" s="428" t="n">
        <f aca="false">H75*I86</f>
        <v>348.8742</v>
      </c>
      <c r="J75" s="428" t="n">
        <f aca="false">I75*J86</f>
        <v>352.362942</v>
      </c>
      <c r="K75" s="428" t="n">
        <f aca="false">J75*K86</f>
        <v>355.88657142</v>
      </c>
      <c r="L75" s="428" t="n">
        <f aca="false">K75*L86</f>
        <v>359.4454371342</v>
      </c>
      <c r="M75" s="428" t="n">
        <f aca="false">L75*M86</f>
        <v>363.039891505542</v>
      </c>
      <c r="N75" s="428" t="n">
        <f aca="false">M75*N86</f>
        <v>366.670290420598</v>
      </c>
      <c r="O75" s="428" t="n">
        <f aca="false">N75*O86</f>
        <v>370.336993324804</v>
      </c>
      <c r="P75" s="428" t="n">
        <f aca="false">O75*P86</f>
        <v>374.040363258052</v>
      </c>
      <c r="Q75" s="428" t="n">
        <f aca="false">P75*Q86</f>
        <v>377.780766890632</v>
      </c>
      <c r="R75" s="449"/>
    </row>
    <row r="76" customFormat="false" ht="12.75" hidden="false" customHeight="false" outlineLevel="0" collapsed="false">
      <c r="A76" s="843" t="s">
        <v>529</v>
      </c>
      <c r="B76" s="644" t="n">
        <v>0</v>
      </c>
      <c r="C76" s="17"/>
      <c r="D76" s="837" t="n">
        <f aca="false">$B$76*287</f>
        <v>0</v>
      </c>
      <c r="E76" s="837" t="n">
        <f aca="false">$B$76*108</f>
        <v>0</v>
      </c>
      <c r="F76" s="837" t="n">
        <f aca="false">$B$76*1457</f>
        <v>0</v>
      </c>
      <c r="G76" s="837" t="n">
        <f aca="false">$B$76*2*2999</f>
        <v>0</v>
      </c>
      <c r="H76" s="428" t="n">
        <f aca="false">G76*H87</f>
        <v>0</v>
      </c>
      <c r="I76" s="428" t="n">
        <f aca="false">H76*I87</f>
        <v>0</v>
      </c>
      <c r="J76" s="428" t="n">
        <f aca="false">I76*J87</f>
        <v>0</v>
      </c>
      <c r="K76" s="428" t="n">
        <f aca="false">J76*K87</f>
        <v>0</v>
      </c>
      <c r="L76" s="428" t="n">
        <f aca="false">K76*L87</f>
        <v>0</v>
      </c>
      <c r="M76" s="428" t="n">
        <f aca="false">L76*M87</f>
        <v>0</v>
      </c>
      <c r="N76" s="428" t="n">
        <f aca="false">M76*N87</f>
        <v>0</v>
      </c>
      <c r="O76" s="428" t="n">
        <f aca="false">N76*O87</f>
        <v>0</v>
      </c>
      <c r="P76" s="428" t="n">
        <f aca="false">O76*P87</f>
        <v>0</v>
      </c>
      <c r="Q76" s="428" t="n">
        <f aca="false">P76*Q87</f>
        <v>0</v>
      </c>
      <c r="R76" s="449"/>
    </row>
    <row r="77" customFormat="false" ht="12.75" hidden="false" customHeight="false" outlineLevel="0" collapsed="false">
      <c r="A77" s="371" t="s">
        <v>530</v>
      </c>
      <c r="B77" s="644" t="n">
        <v>0</v>
      </c>
      <c r="C77" s="17"/>
      <c r="D77" s="837" t="n">
        <f aca="false">$B$77*297</f>
        <v>0</v>
      </c>
      <c r="E77" s="837" t="n">
        <f aca="false">$B$77*401</f>
        <v>0</v>
      </c>
      <c r="F77" s="837" t="n">
        <f aca="false">$B$77*529</f>
        <v>0</v>
      </c>
      <c r="G77" s="837" t="n">
        <f aca="false">$B$77*2*266</f>
        <v>0</v>
      </c>
      <c r="H77" s="428" t="n">
        <f aca="false">G77*H88</f>
        <v>0</v>
      </c>
      <c r="I77" s="428" t="n">
        <f aca="false">H77*I88</f>
        <v>0</v>
      </c>
      <c r="J77" s="428" t="n">
        <f aca="false">I77*J88</f>
        <v>0</v>
      </c>
      <c r="K77" s="428" t="n">
        <f aca="false">J77*K88</f>
        <v>0</v>
      </c>
      <c r="L77" s="428" t="n">
        <f aca="false">K77*L88</f>
        <v>0</v>
      </c>
      <c r="M77" s="428" t="n">
        <f aca="false">L77*M88</f>
        <v>0</v>
      </c>
      <c r="N77" s="428" t="n">
        <f aca="false">M77*N88</f>
        <v>0</v>
      </c>
      <c r="O77" s="428" t="n">
        <f aca="false">N77*O88</f>
        <v>0</v>
      </c>
      <c r="P77" s="428" t="n">
        <f aca="false">O77*P88</f>
        <v>0</v>
      </c>
      <c r="Q77" s="428" t="n">
        <f aca="false">P77*Q88</f>
        <v>0</v>
      </c>
      <c r="R77" s="449"/>
    </row>
    <row r="78" customFormat="false" ht="12.75" hidden="false" customHeight="false" outlineLevel="0" collapsed="false">
      <c r="A78" s="371" t="s">
        <v>531</v>
      </c>
      <c r="B78" s="644" t="n">
        <v>0</v>
      </c>
      <c r="C78" s="17"/>
      <c r="D78" s="837" t="n">
        <f aca="false">$B$78*573</f>
        <v>0</v>
      </c>
      <c r="E78" s="837" t="n">
        <f aca="false">$B$78*560</f>
        <v>0</v>
      </c>
      <c r="F78" s="837" t="n">
        <f aca="false">$B$78*555</f>
        <v>0</v>
      </c>
      <c r="G78" s="837" t="n">
        <f aca="false">$B$78*2*244</f>
        <v>0</v>
      </c>
      <c r="H78" s="428" t="n">
        <f aca="false">G78*H89</f>
        <v>0</v>
      </c>
      <c r="I78" s="428" t="n">
        <f aca="false">H78*I89</f>
        <v>0</v>
      </c>
      <c r="J78" s="428" t="n">
        <f aca="false">I78*J89</f>
        <v>0</v>
      </c>
      <c r="K78" s="428" t="n">
        <f aca="false">J78*K89</f>
        <v>0</v>
      </c>
      <c r="L78" s="428" t="n">
        <f aca="false">K78*L89</f>
        <v>0</v>
      </c>
      <c r="M78" s="428" t="n">
        <f aca="false">L78*M89</f>
        <v>0</v>
      </c>
      <c r="N78" s="428" t="n">
        <f aca="false">M78*N89</f>
        <v>0</v>
      </c>
      <c r="O78" s="428" t="n">
        <f aca="false">N78*O89</f>
        <v>0</v>
      </c>
      <c r="P78" s="428" t="n">
        <f aca="false">O78*P89</f>
        <v>0</v>
      </c>
      <c r="Q78" s="428" t="n">
        <f aca="false">P78*Q89</f>
        <v>0</v>
      </c>
      <c r="R78" s="449"/>
    </row>
    <row r="79" customFormat="false" ht="12.75" hidden="false" customHeight="false" outlineLevel="0" collapsed="false">
      <c r="A79" s="705" t="s">
        <v>532</v>
      </c>
      <c r="B79" s="644" t="n">
        <v>0</v>
      </c>
      <c r="C79" s="17"/>
      <c r="D79" s="837" t="n">
        <f aca="false">$B$79*628</f>
        <v>0</v>
      </c>
      <c r="E79" s="837" t="n">
        <f aca="false">$B$79*700</f>
        <v>0</v>
      </c>
      <c r="F79" s="837" t="n">
        <f aca="false">$B$79*1734</f>
        <v>0</v>
      </c>
      <c r="G79" s="837" t="n">
        <f aca="false">$B$79*2*2142</f>
        <v>0</v>
      </c>
      <c r="H79" s="428" t="n">
        <f aca="false">G79*H90</f>
        <v>0</v>
      </c>
      <c r="I79" s="428" t="n">
        <f aca="false">H79*I90</f>
        <v>0</v>
      </c>
      <c r="J79" s="428" t="n">
        <f aca="false">I79*J90</f>
        <v>0</v>
      </c>
      <c r="K79" s="428" t="n">
        <f aca="false">J79*K90</f>
        <v>0</v>
      </c>
      <c r="L79" s="428" t="n">
        <f aca="false">K79*L90</f>
        <v>0</v>
      </c>
      <c r="M79" s="428" t="n">
        <f aca="false">L79*M90</f>
        <v>0</v>
      </c>
      <c r="N79" s="428" t="n">
        <f aca="false">M79*N90</f>
        <v>0</v>
      </c>
      <c r="O79" s="428" t="n">
        <f aca="false">N79*O90</f>
        <v>0</v>
      </c>
      <c r="P79" s="428" t="n">
        <f aca="false">O79*P90</f>
        <v>0</v>
      </c>
      <c r="Q79" s="428" t="n">
        <f aca="false">P79*Q90</f>
        <v>0</v>
      </c>
      <c r="R79" s="449"/>
    </row>
    <row r="80" customFormat="false" ht="12.75" hidden="false" customHeight="false" outlineLevel="0" collapsed="false">
      <c r="A80" s="371" t="s">
        <v>533</v>
      </c>
      <c r="B80" s="644" t="n">
        <v>0</v>
      </c>
      <c r="C80" s="17"/>
      <c r="D80" s="837" t="n">
        <f aca="false">$B$80*584</f>
        <v>0</v>
      </c>
      <c r="E80" s="837" t="n">
        <f aca="false">$B$80*846</f>
        <v>0</v>
      </c>
      <c r="F80" s="837" t="n">
        <f aca="false">$B$80*967</f>
        <v>0</v>
      </c>
      <c r="G80" s="837" t="n">
        <f aca="false">$B$80*2*871</f>
        <v>0</v>
      </c>
      <c r="H80" s="428" t="n">
        <f aca="false">G80*H91</f>
        <v>0</v>
      </c>
      <c r="I80" s="428" t="n">
        <f aca="false">H80*I91</f>
        <v>0</v>
      </c>
      <c r="J80" s="428" t="n">
        <f aca="false">I80*J91</f>
        <v>0</v>
      </c>
      <c r="K80" s="428" t="n">
        <f aca="false">J80*K91</f>
        <v>0</v>
      </c>
      <c r="L80" s="428" t="n">
        <f aca="false">K80*L91</f>
        <v>0</v>
      </c>
      <c r="M80" s="428" t="n">
        <f aca="false">L80*M91</f>
        <v>0</v>
      </c>
      <c r="N80" s="428" t="n">
        <f aca="false">M80*N91</f>
        <v>0</v>
      </c>
      <c r="O80" s="428" t="n">
        <f aca="false">N80*O91</f>
        <v>0</v>
      </c>
      <c r="P80" s="428" t="n">
        <f aca="false">O80*P91</f>
        <v>0</v>
      </c>
      <c r="Q80" s="428" t="n">
        <f aca="false">P80*Q91</f>
        <v>0</v>
      </c>
      <c r="R80" s="449"/>
    </row>
    <row r="81" customFormat="false" ht="12.75" hidden="false" customHeight="false" outlineLevel="0" collapsed="false">
      <c r="A81" s="371" t="s">
        <v>534</v>
      </c>
      <c r="B81" s="644" t="n">
        <v>0</v>
      </c>
      <c r="C81" s="17"/>
      <c r="D81" s="837" t="n">
        <f aca="false">$B$81*814</f>
        <v>0</v>
      </c>
      <c r="E81" s="837" t="n">
        <f aca="false">$B$81*1049</f>
        <v>0</v>
      </c>
      <c r="F81" s="837" t="n">
        <f aca="false">$B$81*1076</f>
        <v>0</v>
      </c>
      <c r="G81" s="837" t="n">
        <f aca="false">$B$81*2*743</f>
        <v>0</v>
      </c>
      <c r="H81" s="428" t="n">
        <f aca="false">G81*H92</f>
        <v>0</v>
      </c>
      <c r="I81" s="428" t="n">
        <f aca="false">H81*I92</f>
        <v>0</v>
      </c>
      <c r="J81" s="428" t="n">
        <f aca="false">I81*J92</f>
        <v>0</v>
      </c>
      <c r="K81" s="428" t="n">
        <f aca="false">J81*K92</f>
        <v>0</v>
      </c>
      <c r="L81" s="428" t="n">
        <f aca="false">K81*L92</f>
        <v>0</v>
      </c>
      <c r="M81" s="428" t="n">
        <f aca="false">L81*M92</f>
        <v>0</v>
      </c>
      <c r="N81" s="428" t="n">
        <f aca="false">M81*N92</f>
        <v>0</v>
      </c>
      <c r="O81" s="428" t="n">
        <f aca="false">N81*O92</f>
        <v>0</v>
      </c>
      <c r="P81" s="428" t="n">
        <f aca="false">O81*P92</f>
        <v>0</v>
      </c>
      <c r="Q81" s="428" t="n">
        <f aca="false">P81*Q92</f>
        <v>0</v>
      </c>
      <c r="R81" s="449"/>
    </row>
    <row r="82" customFormat="false" ht="12.75" hidden="false" customHeight="false" outlineLevel="0" collapsed="false">
      <c r="A82" s="378" t="s">
        <v>535</v>
      </c>
      <c r="B82" s="839" t="n">
        <v>0</v>
      </c>
      <c r="C82" s="103"/>
      <c r="D82" s="841" t="n">
        <f aca="false">$B$82*176</f>
        <v>0</v>
      </c>
      <c r="E82" s="841" t="n">
        <f aca="false">$B$82*216</f>
        <v>0</v>
      </c>
      <c r="F82" s="841" t="n">
        <f aca="false">$B$82*298</f>
        <v>0</v>
      </c>
      <c r="G82" s="841" t="n">
        <f aca="false">$B$82*2*131</f>
        <v>0</v>
      </c>
      <c r="H82" s="815" t="n">
        <f aca="false">G82*H93</f>
        <v>0</v>
      </c>
      <c r="I82" s="815" t="n">
        <f aca="false">H82*I93</f>
        <v>0</v>
      </c>
      <c r="J82" s="815" t="n">
        <f aca="false">I82*J93</f>
        <v>0</v>
      </c>
      <c r="K82" s="815" t="n">
        <f aca="false">J82*K93</f>
        <v>0</v>
      </c>
      <c r="L82" s="815" t="n">
        <f aca="false">K82*L93</f>
        <v>0</v>
      </c>
      <c r="M82" s="815" t="n">
        <f aca="false">L82*M93</f>
        <v>0</v>
      </c>
      <c r="N82" s="815" t="n">
        <f aca="false">M82*N93</f>
        <v>0</v>
      </c>
      <c r="O82" s="815" t="n">
        <f aca="false">N82*O93</f>
        <v>0</v>
      </c>
      <c r="P82" s="815" t="n">
        <f aca="false">O82*P93</f>
        <v>0</v>
      </c>
      <c r="Q82" s="815" t="n">
        <f aca="false">P82*Q93</f>
        <v>0</v>
      </c>
      <c r="R82" s="449"/>
    </row>
    <row r="83" customFormat="false" ht="12.75" hidden="false" customHeight="false" outlineLevel="0" collapsed="false">
      <c r="A83" s="842" t="s">
        <v>536</v>
      </c>
      <c r="B83" s="186"/>
      <c r="C83" s="270"/>
      <c r="D83" s="631" t="n">
        <f aca="false">SUM(D75:D82)</f>
        <v>359</v>
      </c>
      <c r="E83" s="631" t="n">
        <f aca="false">SUM(E75:E82)</f>
        <v>406</v>
      </c>
      <c r="F83" s="631" t="n">
        <f aca="false">SUM(F75:F82)</f>
        <v>408</v>
      </c>
      <c r="G83" s="631" t="n">
        <f aca="false">SUM(G75:G82)</f>
        <v>342</v>
      </c>
      <c r="H83" s="426" t="n">
        <f aca="false">SUM(H75:H82)</f>
        <v>345.42</v>
      </c>
      <c r="I83" s="426" t="n">
        <f aca="false">SUM(I75:I82)</f>
        <v>348.8742</v>
      </c>
      <c r="J83" s="426" t="n">
        <f aca="false">SUM(J75:J82)</f>
        <v>352.362942</v>
      </c>
      <c r="K83" s="426" t="n">
        <f aca="false">SUM(K75:K82)</f>
        <v>355.88657142</v>
      </c>
      <c r="L83" s="426" t="n">
        <f aca="false">SUM(L75:L82)</f>
        <v>359.4454371342</v>
      </c>
      <c r="M83" s="426" t="n">
        <f aca="false">SUM(M75:M82)</f>
        <v>363.039891505542</v>
      </c>
      <c r="N83" s="426" t="n">
        <f aca="false">SUM(N75:N82)</f>
        <v>366.670290420598</v>
      </c>
      <c r="O83" s="426" t="n">
        <f aca="false">SUM(O75:O82)</f>
        <v>370.336993324804</v>
      </c>
      <c r="P83" s="426" t="n">
        <f aca="false">SUM(P75:P82)</f>
        <v>374.040363258052</v>
      </c>
      <c r="Q83" s="426" t="n">
        <f aca="false">SUM(Q75:Q82)</f>
        <v>377.780766890632</v>
      </c>
      <c r="R83" s="449"/>
    </row>
    <row r="84" customFormat="false" ht="12.75" hidden="false" customHeight="false" outlineLevel="0" collapsed="false">
      <c r="C84" s="17"/>
      <c r="F84" s="463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449"/>
    </row>
    <row r="85" customFormat="false" ht="15.75" hidden="false" customHeight="false" outlineLevel="0" collapsed="false">
      <c r="A85" s="696" t="s">
        <v>351</v>
      </c>
      <c r="B85" s="131"/>
      <c r="C85" s="697"/>
      <c r="D85" s="698"/>
      <c r="E85" s="131"/>
      <c r="F85" s="699"/>
      <c r="G85" s="700"/>
      <c r="H85" s="700"/>
      <c r="I85" s="700"/>
      <c r="J85" s="700"/>
      <c r="K85" s="700"/>
      <c r="L85" s="700"/>
      <c r="M85" s="700"/>
      <c r="N85" s="700"/>
      <c r="O85" s="700"/>
      <c r="P85" s="700"/>
      <c r="Q85" s="700"/>
      <c r="R85" s="503"/>
    </row>
    <row r="86" customFormat="false" ht="12.75" hidden="false" customHeight="false" outlineLevel="0" collapsed="false">
      <c r="A86" s="371" t="s">
        <v>528</v>
      </c>
      <c r="C86" s="270"/>
      <c r="D86" s="639"/>
      <c r="F86" s="463"/>
      <c r="G86" s="701"/>
      <c r="H86" s="207" t="n">
        <v>1.01</v>
      </c>
      <c r="I86" s="207" t="n">
        <v>1.01</v>
      </c>
      <c r="J86" s="207" t="n">
        <v>1.01</v>
      </c>
      <c r="K86" s="207" t="n">
        <v>1.01</v>
      </c>
      <c r="L86" s="207" t="n">
        <v>1.01</v>
      </c>
      <c r="M86" s="207" t="n">
        <v>1.01</v>
      </c>
      <c r="N86" s="207" t="n">
        <v>1.01</v>
      </c>
      <c r="O86" s="207" t="n">
        <v>1.01</v>
      </c>
      <c r="P86" s="207" t="n">
        <v>1.01</v>
      </c>
      <c r="Q86" s="207" t="n">
        <v>1.01</v>
      </c>
      <c r="R86" s="449"/>
    </row>
    <row r="87" customFormat="false" ht="12.75" hidden="false" customHeight="false" outlineLevel="0" collapsed="false">
      <c r="A87" s="843" t="s">
        <v>529</v>
      </c>
      <c r="C87" s="270"/>
      <c r="D87" s="639"/>
      <c r="F87" s="463"/>
      <c r="G87" s="701"/>
      <c r="H87" s="207" t="n">
        <v>1.25</v>
      </c>
      <c r="I87" s="207" t="n">
        <v>1.25</v>
      </c>
      <c r="J87" s="207" t="n">
        <v>1.15</v>
      </c>
      <c r="K87" s="207" t="n">
        <v>1.15</v>
      </c>
      <c r="L87" s="207" t="n">
        <v>1.05</v>
      </c>
      <c r="M87" s="207" t="n">
        <v>1.05</v>
      </c>
      <c r="N87" s="207" t="n">
        <v>0.95</v>
      </c>
      <c r="O87" s="207" t="n">
        <v>0.95</v>
      </c>
      <c r="P87" s="207" t="n">
        <v>0.85</v>
      </c>
      <c r="Q87" s="207" t="n">
        <v>0.85</v>
      </c>
      <c r="R87" s="449"/>
    </row>
    <row r="88" customFormat="false" ht="12.75" hidden="false" customHeight="false" outlineLevel="0" collapsed="false">
      <c r="A88" s="371" t="s">
        <v>530</v>
      </c>
      <c r="C88" s="270"/>
      <c r="D88" s="639"/>
      <c r="F88" s="463"/>
      <c r="G88" s="701"/>
      <c r="H88" s="207" t="n">
        <v>1.03</v>
      </c>
      <c r="I88" s="207" t="n">
        <v>1.03</v>
      </c>
      <c r="J88" s="207" t="n">
        <v>1.03</v>
      </c>
      <c r="K88" s="207" t="n">
        <v>1.03</v>
      </c>
      <c r="L88" s="207" t="n">
        <v>1.03</v>
      </c>
      <c r="M88" s="207" t="n">
        <v>1.03</v>
      </c>
      <c r="N88" s="207" t="n">
        <v>1.03</v>
      </c>
      <c r="O88" s="207" t="n">
        <v>1.03</v>
      </c>
      <c r="P88" s="207" t="n">
        <v>1.03</v>
      </c>
      <c r="Q88" s="207" t="n">
        <v>1.03</v>
      </c>
      <c r="R88" s="449"/>
    </row>
    <row r="89" customFormat="false" ht="12.75" hidden="false" customHeight="false" outlineLevel="0" collapsed="false">
      <c r="A89" s="371" t="s">
        <v>531</v>
      </c>
      <c r="C89" s="270"/>
      <c r="D89" s="639"/>
      <c r="F89" s="463"/>
      <c r="G89" s="701"/>
      <c r="H89" s="207" t="n">
        <v>1.02</v>
      </c>
      <c r="I89" s="207" t="n">
        <v>1.02</v>
      </c>
      <c r="J89" s="207" t="n">
        <v>1.02</v>
      </c>
      <c r="K89" s="207" t="n">
        <v>1.02</v>
      </c>
      <c r="L89" s="207" t="n">
        <v>1.02</v>
      </c>
      <c r="M89" s="207" t="n">
        <v>1.02</v>
      </c>
      <c r="N89" s="207" t="n">
        <v>1.02</v>
      </c>
      <c r="O89" s="207" t="n">
        <v>1.02</v>
      </c>
      <c r="P89" s="207" t="n">
        <v>1.02</v>
      </c>
      <c r="Q89" s="207" t="n">
        <v>1.02</v>
      </c>
      <c r="R89" s="449"/>
    </row>
    <row r="90" customFormat="false" ht="12.75" hidden="false" customHeight="false" outlineLevel="0" collapsed="false">
      <c r="A90" s="705" t="s">
        <v>532</v>
      </c>
      <c r="C90" s="270"/>
      <c r="D90" s="639"/>
      <c r="F90" s="463"/>
      <c r="G90" s="701"/>
      <c r="H90" s="207" t="n">
        <v>1.25</v>
      </c>
      <c r="I90" s="207" t="n">
        <v>1.25</v>
      </c>
      <c r="J90" s="207" t="n">
        <v>1.15</v>
      </c>
      <c r="K90" s="207" t="n">
        <v>1.15</v>
      </c>
      <c r="L90" s="207" t="n">
        <v>1.05</v>
      </c>
      <c r="M90" s="207" t="n">
        <v>1.05</v>
      </c>
      <c r="N90" s="207" t="n">
        <v>0.95</v>
      </c>
      <c r="O90" s="207" t="n">
        <v>0.95</v>
      </c>
      <c r="P90" s="207" t="n">
        <v>0.85</v>
      </c>
      <c r="Q90" s="207" t="n">
        <v>0.85</v>
      </c>
      <c r="R90" s="449"/>
    </row>
    <row r="91" customFormat="false" ht="12.75" hidden="false" customHeight="false" outlineLevel="0" collapsed="false">
      <c r="A91" s="371" t="s">
        <v>533</v>
      </c>
      <c r="C91" s="270"/>
      <c r="D91" s="639"/>
      <c r="F91" s="463"/>
      <c r="G91" s="701"/>
      <c r="H91" s="207" t="n">
        <v>1.01</v>
      </c>
      <c r="I91" s="207" t="n">
        <v>1.01</v>
      </c>
      <c r="J91" s="207" t="n">
        <v>1.01</v>
      </c>
      <c r="K91" s="207" t="n">
        <v>1.01</v>
      </c>
      <c r="L91" s="207" t="n">
        <v>1.01</v>
      </c>
      <c r="M91" s="207" t="n">
        <v>1.01</v>
      </c>
      <c r="N91" s="207" t="n">
        <v>1.01</v>
      </c>
      <c r="O91" s="207" t="n">
        <v>1.01</v>
      </c>
      <c r="P91" s="207" t="n">
        <v>1.01</v>
      </c>
      <c r="Q91" s="207" t="n">
        <v>1.01</v>
      </c>
      <c r="R91" s="449"/>
    </row>
    <row r="92" customFormat="false" ht="12.75" hidden="false" customHeight="false" outlineLevel="0" collapsed="false">
      <c r="A92" s="371" t="s">
        <v>534</v>
      </c>
      <c r="C92" s="270"/>
      <c r="D92" s="639"/>
      <c r="F92" s="463"/>
      <c r="G92" s="701"/>
      <c r="H92" s="207" t="n">
        <v>1.01</v>
      </c>
      <c r="I92" s="207" t="n">
        <v>1.01</v>
      </c>
      <c r="J92" s="207" t="n">
        <v>1.01</v>
      </c>
      <c r="K92" s="207" t="n">
        <v>1.01</v>
      </c>
      <c r="L92" s="207" t="n">
        <v>1.01</v>
      </c>
      <c r="M92" s="207" t="n">
        <v>1.01</v>
      </c>
      <c r="N92" s="207" t="n">
        <v>1.01</v>
      </c>
      <c r="O92" s="207" t="n">
        <v>1.01</v>
      </c>
      <c r="P92" s="207" t="n">
        <v>1.01</v>
      </c>
      <c r="Q92" s="207" t="n">
        <v>1.01</v>
      </c>
      <c r="R92" s="449"/>
    </row>
    <row r="93" customFormat="false" ht="12.75" hidden="false" customHeight="false" outlineLevel="0" collapsed="false">
      <c r="A93" s="25" t="s">
        <v>535</v>
      </c>
      <c r="C93" s="270"/>
      <c r="D93" s="639"/>
      <c r="F93" s="463"/>
      <c r="G93" s="701"/>
      <c r="H93" s="207" t="n">
        <v>1.01</v>
      </c>
      <c r="I93" s="207" t="n">
        <v>1.01</v>
      </c>
      <c r="J93" s="207" t="n">
        <v>1.01</v>
      </c>
      <c r="K93" s="207" t="n">
        <v>1.01</v>
      </c>
      <c r="L93" s="207" t="n">
        <v>1.01</v>
      </c>
      <c r="M93" s="207" t="n">
        <v>1.01</v>
      </c>
      <c r="N93" s="207" t="n">
        <v>1.01</v>
      </c>
      <c r="O93" s="207" t="n">
        <v>1.01</v>
      </c>
      <c r="P93" s="207" t="n">
        <v>1.01</v>
      </c>
      <c r="Q93" s="207" t="n">
        <v>1.01</v>
      </c>
      <c r="R93" s="449"/>
    </row>
    <row r="94" customFormat="false" ht="12.75" hidden="false" customHeight="false" outlineLevel="0" collapsed="false">
      <c r="R94" s="449"/>
    </row>
    <row r="95" customFormat="false" ht="15.75" hidden="false" customHeight="false" outlineLevel="0" collapsed="false">
      <c r="A95" s="497" t="s">
        <v>537</v>
      </c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449"/>
    </row>
    <row r="96" customFormat="false" ht="12.75" hidden="false" customHeight="true" outlineLevel="0" collapsed="false">
      <c r="A96" s="501"/>
      <c r="B96" s="449"/>
      <c r="C96" s="449"/>
      <c r="D96" s="505"/>
      <c r="E96" s="505"/>
      <c r="F96" s="295"/>
      <c r="G96" s="306" t="s">
        <v>192</v>
      </c>
      <c r="H96" s="307"/>
      <c r="I96" s="295"/>
      <c r="J96" s="295"/>
      <c r="K96" s="176"/>
      <c r="L96" s="295"/>
      <c r="M96" s="176"/>
      <c r="N96" s="176"/>
      <c r="O96" s="176"/>
      <c r="P96" s="176"/>
      <c r="Q96" s="103"/>
      <c r="R96" s="449"/>
    </row>
    <row r="97" customFormat="false" ht="12.75" hidden="false" customHeight="true" outlineLevel="0" collapsed="false">
      <c r="A97" s="501"/>
      <c r="B97" s="449"/>
      <c r="C97" s="449"/>
      <c r="D97" s="308" t="n">
        <v>1998</v>
      </c>
      <c r="E97" s="308" t="n">
        <v>1999</v>
      </c>
      <c r="F97" s="308" t="n">
        <v>2000</v>
      </c>
      <c r="G97" s="308" t="n">
        <v>2001</v>
      </c>
      <c r="H97" s="309" t="n">
        <v>2002</v>
      </c>
      <c r="I97" s="309" t="n">
        <v>2003</v>
      </c>
      <c r="J97" s="309" t="n">
        <v>2004</v>
      </c>
      <c r="K97" s="309" t="n">
        <v>2005</v>
      </c>
      <c r="L97" s="309" t="n">
        <v>2006</v>
      </c>
      <c r="M97" s="310" t="n">
        <v>2007</v>
      </c>
      <c r="N97" s="310" t="n">
        <v>2008</v>
      </c>
      <c r="O97" s="310" t="n">
        <v>2009</v>
      </c>
      <c r="P97" s="310" t="n">
        <v>2010</v>
      </c>
      <c r="Q97" s="441" t="n">
        <v>2011</v>
      </c>
      <c r="R97" s="449"/>
    </row>
    <row r="98" customFormat="false" ht="12.75" hidden="false" customHeight="true" outlineLevel="0" collapsed="false">
      <c r="A98" s="501"/>
      <c r="B98" s="507" t="s">
        <v>268</v>
      </c>
      <c r="C98" s="449"/>
      <c r="F98" s="704" t="s">
        <v>193</v>
      </c>
      <c r="G98" s="308" t="n">
        <v>1</v>
      </c>
      <c r="H98" s="309" t="n">
        <v>2</v>
      </c>
      <c r="I98" s="309" t="n">
        <v>3</v>
      </c>
      <c r="J98" s="309" t="n">
        <v>4</v>
      </c>
      <c r="K98" s="309" t="n">
        <v>5</v>
      </c>
      <c r="L98" s="309" t="n">
        <v>6</v>
      </c>
      <c r="M98" s="309" t="n">
        <v>7</v>
      </c>
      <c r="N98" s="309" t="n">
        <v>8</v>
      </c>
      <c r="O98" s="309" t="n">
        <v>9</v>
      </c>
      <c r="P98" s="309" t="n">
        <v>10</v>
      </c>
      <c r="Q98" s="387" t="n">
        <v>11</v>
      </c>
      <c r="R98" s="449"/>
    </row>
    <row r="99" customFormat="false" ht="12.75" hidden="false" customHeight="false" outlineLevel="0" collapsed="false">
      <c r="A99" s="371" t="s">
        <v>538</v>
      </c>
      <c r="B99" s="644" t="n">
        <v>1</v>
      </c>
      <c r="D99" s="837"/>
      <c r="E99" s="837"/>
      <c r="F99" s="837"/>
      <c r="G99" s="837" t="n">
        <f aca="false">$B$99*555</f>
        <v>555</v>
      </c>
      <c r="H99" s="837" t="n">
        <f aca="false">$B$99*555</f>
        <v>555</v>
      </c>
      <c r="I99" s="837" t="n">
        <f aca="false">$B$99*355</f>
        <v>355</v>
      </c>
      <c r="J99" s="428" t="n">
        <f aca="false">I99*J110</f>
        <v>358.55</v>
      </c>
      <c r="K99" s="428" t="n">
        <f aca="false">J99*K110</f>
        <v>362.1355</v>
      </c>
      <c r="L99" s="428" t="n">
        <f aca="false">K99*L110</f>
        <v>365.756855</v>
      </c>
      <c r="M99" s="428" t="n">
        <f aca="false">L99*M110</f>
        <v>369.41442355</v>
      </c>
      <c r="N99" s="428" t="n">
        <f aca="false">M99*N110</f>
        <v>373.1085677855</v>
      </c>
      <c r="O99" s="428" t="n">
        <f aca="false">N99*O110</f>
        <v>376.839653463355</v>
      </c>
      <c r="P99" s="428" t="n">
        <f aca="false">O99*P110</f>
        <v>380.608049997989</v>
      </c>
      <c r="Q99" s="428" t="n">
        <f aca="false">P99*Q110</f>
        <v>384.414130497969</v>
      </c>
      <c r="R99" s="449"/>
    </row>
    <row r="100" customFormat="false" ht="12.75" hidden="false" customHeight="false" outlineLevel="0" collapsed="false">
      <c r="A100" s="371" t="s">
        <v>539</v>
      </c>
      <c r="B100" s="644" t="n">
        <v>1</v>
      </c>
      <c r="D100" s="837"/>
      <c r="E100" s="837"/>
      <c r="F100" s="837"/>
      <c r="G100" s="837" t="n">
        <f aca="false">$B$100*145</f>
        <v>145</v>
      </c>
      <c r="H100" s="837" t="n">
        <f aca="false">$B$100*145</f>
        <v>145</v>
      </c>
      <c r="I100" s="837" t="n">
        <f aca="false">$B$100*135</f>
        <v>135</v>
      </c>
      <c r="J100" s="428" t="n">
        <f aca="false">I100*J111</f>
        <v>137.7</v>
      </c>
      <c r="K100" s="428" t="n">
        <f aca="false">J100*K111</f>
        <v>140.454</v>
      </c>
      <c r="L100" s="428" t="n">
        <f aca="false">K100*L111</f>
        <v>143.26308</v>
      </c>
      <c r="M100" s="428" t="n">
        <f aca="false">L100*M111</f>
        <v>146.1283416</v>
      </c>
      <c r="N100" s="428" t="n">
        <f aca="false">M100*N111</f>
        <v>149.050908432</v>
      </c>
      <c r="O100" s="428" t="n">
        <f aca="false">N100*O111</f>
        <v>152.03192660064</v>
      </c>
      <c r="P100" s="428" t="n">
        <f aca="false">O100*P111</f>
        <v>155.072565132653</v>
      </c>
      <c r="Q100" s="428" t="n">
        <f aca="false">P100*Q111</f>
        <v>158.174016435306</v>
      </c>
      <c r="R100" s="449"/>
    </row>
    <row r="101" customFormat="false" ht="12.75" hidden="false" customHeight="false" outlineLevel="0" collapsed="false">
      <c r="A101" s="371" t="s">
        <v>540</v>
      </c>
      <c r="B101" s="644" t="n">
        <v>0</v>
      </c>
      <c r="D101" s="837"/>
      <c r="E101" s="844"/>
      <c r="F101" s="844"/>
      <c r="G101" s="837" t="n">
        <f aca="false">$B$101*220</f>
        <v>0</v>
      </c>
      <c r="H101" s="837" t="n">
        <f aca="false">$B$101*215</f>
        <v>0</v>
      </c>
      <c r="I101" s="837" t="n">
        <f aca="false">$B$101*280</f>
        <v>0</v>
      </c>
      <c r="J101" s="428" t="n">
        <f aca="false">I101*J112</f>
        <v>0</v>
      </c>
      <c r="K101" s="428" t="n">
        <f aca="false">J101*K112</f>
        <v>0</v>
      </c>
      <c r="L101" s="428" t="n">
        <f aca="false">K101*L112</f>
        <v>0</v>
      </c>
      <c r="M101" s="428" t="n">
        <f aca="false">L101*M112</f>
        <v>0</v>
      </c>
      <c r="N101" s="428" t="n">
        <f aca="false">M101*N112</f>
        <v>0</v>
      </c>
      <c r="O101" s="428" t="n">
        <f aca="false">N101*O112</f>
        <v>0</v>
      </c>
      <c r="P101" s="428" t="n">
        <f aca="false">O101*P112</f>
        <v>0</v>
      </c>
      <c r="Q101" s="428" t="n">
        <f aca="false">P101*Q112</f>
        <v>0</v>
      </c>
      <c r="R101" s="449"/>
    </row>
    <row r="102" customFormat="false" ht="12.75" hidden="false" customHeight="false" outlineLevel="0" collapsed="false">
      <c r="A102" s="371" t="s">
        <v>522</v>
      </c>
      <c r="B102" s="644" t="n">
        <v>0</v>
      </c>
      <c r="D102" s="837"/>
      <c r="E102" s="844"/>
      <c r="F102" s="844"/>
      <c r="G102" s="837" t="n">
        <f aca="false">$B$102*65</f>
        <v>0</v>
      </c>
      <c r="H102" s="837" t="n">
        <f aca="false">$B$102*150</f>
        <v>0</v>
      </c>
      <c r="I102" s="837" t="n">
        <f aca="false">$B$102*240</f>
        <v>0</v>
      </c>
      <c r="J102" s="428" t="n">
        <f aca="false">I102*J113</f>
        <v>0</v>
      </c>
      <c r="K102" s="428" t="n">
        <f aca="false">J102*K113</f>
        <v>0</v>
      </c>
      <c r="L102" s="428" t="n">
        <f aca="false">K102*L113</f>
        <v>0</v>
      </c>
      <c r="M102" s="428" t="n">
        <f aca="false">L102*M113</f>
        <v>0</v>
      </c>
      <c r="N102" s="428" t="n">
        <f aca="false">M102*N113</f>
        <v>0</v>
      </c>
      <c r="O102" s="428" t="n">
        <f aca="false">N102*O113</f>
        <v>0</v>
      </c>
      <c r="P102" s="428" t="n">
        <f aca="false">O102*P113</f>
        <v>0</v>
      </c>
      <c r="Q102" s="428" t="n">
        <f aca="false">P102*Q113</f>
        <v>0</v>
      </c>
      <c r="R102" s="449"/>
    </row>
    <row r="103" customFormat="false" ht="12.75" hidden="false" customHeight="false" outlineLevel="0" collapsed="false">
      <c r="A103" s="371" t="s">
        <v>541</v>
      </c>
      <c r="B103" s="644" t="n">
        <v>0</v>
      </c>
      <c r="D103" s="837"/>
      <c r="E103" s="844"/>
      <c r="F103" s="844"/>
      <c r="G103" s="837" t="n">
        <f aca="false">$B$103*195</f>
        <v>0</v>
      </c>
      <c r="H103" s="837" t="n">
        <f aca="false">$B$103*235</f>
        <v>0</v>
      </c>
      <c r="I103" s="837" t="n">
        <f aca="false">$B$103*245</f>
        <v>0</v>
      </c>
      <c r="J103" s="428" t="n">
        <f aca="false">I103*J114</f>
        <v>0</v>
      </c>
      <c r="K103" s="428" t="n">
        <f aca="false">J103*K114</f>
        <v>0</v>
      </c>
      <c r="L103" s="428" t="n">
        <f aca="false">K103*L114</f>
        <v>0</v>
      </c>
      <c r="M103" s="428" t="n">
        <f aca="false">L103*M114</f>
        <v>0</v>
      </c>
      <c r="N103" s="428" t="n">
        <f aca="false">M103*N114</f>
        <v>0</v>
      </c>
      <c r="O103" s="428" t="n">
        <f aca="false">N103*O114</f>
        <v>0</v>
      </c>
      <c r="P103" s="428" t="n">
        <f aca="false">O103*P114</f>
        <v>0</v>
      </c>
      <c r="Q103" s="428" t="n">
        <f aca="false">P103*Q114</f>
        <v>0</v>
      </c>
      <c r="R103" s="449"/>
    </row>
    <row r="104" customFormat="false" ht="12.75" hidden="false" customHeight="false" outlineLevel="0" collapsed="false">
      <c r="A104" s="371" t="s">
        <v>524</v>
      </c>
      <c r="B104" s="644" t="n">
        <v>0</v>
      </c>
      <c r="D104" s="837"/>
      <c r="E104" s="837"/>
      <c r="F104" s="837"/>
      <c r="G104" s="837" t="n">
        <f aca="false">$B$104*5</f>
        <v>0</v>
      </c>
      <c r="H104" s="837" t="n">
        <f aca="false">$B$104*5</f>
        <v>0</v>
      </c>
      <c r="I104" s="837" t="n">
        <f aca="false">$B$104*5</f>
        <v>0</v>
      </c>
      <c r="J104" s="428" t="n">
        <f aca="false">I104*J115</f>
        <v>0</v>
      </c>
      <c r="K104" s="428" t="n">
        <f aca="false">J104*K115</f>
        <v>0</v>
      </c>
      <c r="L104" s="428" t="n">
        <f aca="false">K104*L115</f>
        <v>0</v>
      </c>
      <c r="M104" s="428" t="n">
        <f aca="false">L104*M115</f>
        <v>0</v>
      </c>
      <c r="N104" s="428" t="n">
        <f aca="false">M104*N115</f>
        <v>0</v>
      </c>
      <c r="O104" s="428" t="n">
        <f aca="false">N104*O115</f>
        <v>0</v>
      </c>
      <c r="P104" s="428" t="n">
        <f aca="false">O104*P115</f>
        <v>0</v>
      </c>
      <c r="Q104" s="428" t="n">
        <f aca="false">P104*Q115</f>
        <v>0</v>
      </c>
      <c r="R104" s="449"/>
    </row>
    <row r="105" customFormat="false" ht="12.75" hidden="false" customHeight="false" outlineLevel="0" collapsed="false">
      <c r="A105" s="371" t="s">
        <v>525</v>
      </c>
      <c r="B105" s="644" t="n">
        <v>0</v>
      </c>
      <c r="D105" s="837"/>
      <c r="E105" s="837"/>
      <c r="F105" s="837"/>
      <c r="G105" s="837" t="n">
        <f aca="false">$B$105*60</f>
        <v>0</v>
      </c>
      <c r="H105" s="837" t="n">
        <f aca="false">$B$105*5</f>
        <v>0</v>
      </c>
      <c r="I105" s="837" t="n">
        <f aca="false">$B$105*5</f>
        <v>0</v>
      </c>
      <c r="J105" s="428" t="n">
        <f aca="false">I105*J116</f>
        <v>0</v>
      </c>
      <c r="K105" s="428" t="n">
        <f aca="false">J105*K116</f>
        <v>0</v>
      </c>
      <c r="L105" s="428" t="n">
        <f aca="false">K105*L116</f>
        <v>0</v>
      </c>
      <c r="M105" s="428" t="n">
        <f aca="false">L105*M116</f>
        <v>0</v>
      </c>
      <c r="N105" s="428" t="n">
        <f aca="false">M105*N116</f>
        <v>0</v>
      </c>
      <c r="O105" s="428" t="n">
        <f aca="false">N105*O116</f>
        <v>0</v>
      </c>
      <c r="P105" s="428" t="n">
        <f aca="false">O105*P116</f>
        <v>0</v>
      </c>
      <c r="Q105" s="428" t="n">
        <f aca="false">P105*Q116</f>
        <v>0</v>
      </c>
      <c r="R105" s="449"/>
    </row>
    <row r="106" customFormat="false" ht="12.75" hidden="false" customHeight="false" outlineLevel="0" collapsed="false">
      <c r="A106" s="378" t="s">
        <v>347</v>
      </c>
      <c r="B106" s="839" t="n">
        <v>0</v>
      </c>
      <c r="C106" s="103"/>
      <c r="D106" s="841"/>
      <c r="E106" s="841"/>
      <c r="F106" s="841"/>
      <c r="G106" s="841" t="n">
        <f aca="false">$B$106*30</f>
        <v>0</v>
      </c>
      <c r="H106" s="841" t="n">
        <f aca="false">$B$106*25</f>
        <v>0</v>
      </c>
      <c r="I106" s="841" t="n">
        <f aca="false">$B$106*5</f>
        <v>0</v>
      </c>
      <c r="J106" s="815" t="n">
        <f aca="false">I106*J117</f>
        <v>0</v>
      </c>
      <c r="K106" s="815" t="n">
        <f aca="false">J106*K117</f>
        <v>0</v>
      </c>
      <c r="L106" s="815" t="n">
        <f aca="false">K106*L117</f>
        <v>0</v>
      </c>
      <c r="M106" s="815" t="n">
        <f aca="false">L106*M117</f>
        <v>0</v>
      </c>
      <c r="N106" s="815" t="n">
        <f aca="false">M106*N117</f>
        <v>0</v>
      </c>
      <c r="O106" s="815" t="n">
        <f aca="false">N106*O117</f>
        <v>0</v>
      </c>
      <c r="P106" s="815" t="n">
        <f aca="false">O106*P117</f>
        <v>0</v>
      </c>
      <c r="Q106" s="815" t="n">
        <f aca="false">P106*Q117</f>
        <v>0</v>
      </c>
      <c r="R106" s="449"/>
    </row>
    <row r="107" customFormat="false" ht="12.75" hidden="false" customHeight="false" outlineLevel="0" collapsed="false">
      <c r="A107" s="529" t="s">
        <v>542</v>
      </c>
      <c r="D107" s="845"/>
      <c r="E107" s="845"/>
      <c r="F107" s="845"/>
      <c r="G107" s="631" t="n">
        <f aca="false">SUM(G99:G106)</f>
        <v>700</v>
      </c>
      <c r="H107" s="631" t="n">
        <f aca="false">SUM(H99:H106)</f>
        <v>700</v>
      </c>
      <c r="I107" s="631" t="n">
        <f aca="false">SUM(I99:I106)</f>
        <v>490</v>
      </c>
      <c r="J107" s="426" t="n">
        <f aca="false">SUM(J99:J106)</f>
        <v>496.25</v>
      </c>
      <c r="K107" s="426" t="n">
        <f aca="false">SUM(K99:K106)</f>
        <v>502.5895</v>
      </c>
      <c r="L107" s="426" t="n">
        <f aca="false">SUM(L99:L106)</f>
        <v>509.019935</v>
      </c>
      <c r="M107" s="426" t="n">
        <f aca="false">SUM(M99:M106)</f>
        <v>515.54276515</v>
      </c>
      <c r="N107" s="426" t="n">
        <f aca="false">SUM(N99:N106)</f>
        <v>522.1594762175</v>
      </c>
      <c r="O107" s="426" t="n">
        <f aca="false">SUM(O99:O106)</f>
        <v>528.871580063995</v>
      </c>
      <c r="P107" s="426" t="n">
        <f aca="false">SUM(P99:P106)</f>
        <v>535.680615130641</v>
      </c>
      <c r="Q107" s="426" t="n">
        <f aca="false">SUM(Q99:Q106)</f>
        <v>542.588146933274</v>
      </c>
      <c r="R107" s="449"/>
    </row>
    <row r="108" customFormat="false" ht="12.75" hidden="false" customHeight="false" outlineLevel="0" collapsed="false">
      <c r="A108" s="529"/>
      <c r="D108" s="706"/>
      <c r="E108" s="706"/>
      <c r="F108" s="706"/>
      <c r="G108" s="426"/>
      <c r="H108" s="426"/>
      <c r="I108" s="426"/>
      <c r="J108" s="426"/>
      <c r="K108" s="426"/>
      <c r="L108" s="426"/>
      <c r="M108" s="426"/>
      <c r="N108" s="426"/>
      <c r="O108" s="426"/>
      <c r="P108" s="426"/>
      <c r="Q108" s="426"/>
      <c r="R108" s="449"/>
    </row>
    <row r="109" customFormat="false" ht="15.75" hidden="false" customHeight="false" outlineLevel="0" collapsed="false">
      <c r="A109" s="696" t="s">
        <v>351</v>
      </c>
      <c r="B109" s="131"/>
      <c r="C109" s="697"/>
      <c r="D109" s="698"/>
      <c r="E109" s="131"/>
      <c r="F109" s="699"/>
      <c r="G109" s="700"/>
      <c r="H109" s="700"/>
      <c r="I109" s="700"/>
      <c r="J109" s="700"/>
      <c r="K109" s="700"/>
      <c r="L109" s="700"/>
      <c r="M109" s="700"/>
      <c r="N109" s="700"/>
      <c r="O109" s="700"/>
      <c r="P109" s="700"/>
      <c r="Q109" s="700"/>
      <c r="R109" s="503"/>
    </row>
    <row r="110" customFormat="false" ht="12.75" hidden="false" customHeight="false" outlineLevel="0" collapsed="false">
      <c r="A110" s="371" t="s">
        <v>538</v>
      </c>
      <c r="C110" s="270"/>
      <c r="D110" s="639"/>
      <c r="F110" s="463"/>
      <c r="G110" s="701"/>
      <c r="H110" s="701"/>
      <c r="I110" s="701"/>
      <c r="J110" s="207" t="n">
        <v>1.01</v>
      </c>
      <c r="K110" s="207" t="n">
        <v>1.01</v>
      </c>
      <c r="L110" s="207" t="n">
        <v>1.01</v>
      </c>
      <c r="M110" s="207" t="n">
        <v>1.01</v>
      </c>
      <c r="N110" s="207" t="n">
        <v>1.01</v>
      </c>
      <c r="O110" s="207" t="n">
        <v>1.01</v>
      </c>
      <c r="P110" s="207" t="n">
        <v>1.01</v>
      </c>
      <c r="Q110" s="207" t="n">
        <v>1.01</v>
      </c>
      <c r="R110" s="449"/>
    </row>
    <row r="111" customFormat="false" ht="12.75" hidden="false" customHeight="false" outlineLevel="0" collapsed="false">
      <c r="A111" s="371" t="s">
        <v>539</v>
      </c>
      <c r="C111" s="270"/>
      <c r="D111" s="639"/>
      <c r="F111" s="463"/>
      <c r="G111" s="701"/>
      <c r="H111" s="701"/>
      <c r="I111" s="701"/>
      <c r="J111" s="207" t="n">
        <v>1.02</v>
      </c>
      <c r="K111" s="207" t="n">
        <v>1.02</v>
      </c>
      <c r="L111" s="207" t="n">
        <v>1.02</v>
      </c>
      <c r="M111" s="207" t="n">
        <v>1.02</v>
      </c>
      <c r="N111" s="207" t="n">
        <v>1.02</v>
      </c>
      <c r="O111" s="207" t="n">
        <v>1.02</v>
      </c>
      <c r="P111" s="207" t="n">
        <v>1.02</v>
      </c>
      <c r="Q111" s="207" t="n">
        <v>1.02</v>
      </c>
      <c r="R111" s="449"/>
    </row>
    <row r="112" customFormat="false" ht="12.75" hidden="false" customHeight="false" outlineLevel="0" collapsed="false">
      <c r="A112" s="371" t="s">
        <v>540</v>
      </c>
      <c r="C112" s="270"/>
      <c r="D112" s="639"/>
      <c r="F112" s="463"/>
      <c r="G112" s="701"/>
      <c r="H112" s="701"/>
      <c r="I112" s="701"/>
      <c r="J112" s="207" t="n">
        <v>1.03</v>
      </c>
      <c r="K112" s="207" t="n">
        <v>1.03</v>
      </c>
      <c r="L112" s="207" t="n">
        <v>1.03</v>
      </c>
      <c r="M112" s="207" t="n">
        <v>1.03</v>
      </c>
      <c r="N112" s="207" t="n">
        <v>1.03</v>
      </c>
      <c r="O112" s="207" t="n">
        <v>1.03</v>
      </c>
      <c r="P112" s="207" t="n">
        <v>1.03</v>
      </c>
      <c r="Q112" s="207" t="n">
        <v>1.03</v>
      </c>
      <c r="R112" s="449"/>
    </row>
    <row r="113" customFormat="false" ht="12.75" hidden="false" customHeight="false" outlineLevel="0" collapsed="false">
      <c r="A113" s="371" t="s">
        <v>522</v>
      </c>
      <c r="C113" s="270"/>
      <c r="D113" s="639"/>
      <c r="F113" s="463"/>
      <c r="G113" s="701"/>
      <c r="H113" s="701"/>
      <c r="I113" s="701"/>
      <c r="J113" s="207" t="n">
        <v>1.02</v>
      </c>
      <c r="K113" s="207" t="n">
        <v>1.02</v>
      </c>
      <c r="L113" s="207" t="n">
        <v>1.02</v>
      </c>
      <c r="M113" s="207" t="n">
        <v>1.02</v>
      </c>
      <c r="N113" s="207" t="n">
        <v>1.02</v>
      </c>
      <c r="O113" s="207" t="n">
        <v>1.02</v>
      </c>
      <c r="P113" s="207" t="n">
        <v>1.02</v>
      </c>
      <c r="Q113" s="207" t="n">
        <v>1.02</v>
      </c>
      <c r="R113" s="449"/>
    </row>
    <row r="114" customFormat="false" ht="12.75" hidden="false" customHeight="false" outlineLevel="0" collapsed="false">
      <c r="A114" s="371" t="s">
        <v>543</v>
      </c>
      <c r="C114" s="270"/>
      <c r="D114" s="639"/>
      <c r="F114" s="463"/>
      <c r="G114" s="701"/>
      <c r="H114" s="701"/>
      <c r="I114" s="701"/>
      <c r="J114" s="207" t="n">
        <v>1.03</v>
      </c>
      <c r="K114" s="207" t="n">
        <v>1.03</v>
      </c>
      <c r="L114" s="207" t="n">
        <v>1.03</v>
      </c>
      <c r="M114" s="207" t="n">
        <v>1.03</v>
      </c>
      <c r="N114" s="207" t="n">
        <v>1.03</v>
      </c>
      <c r="O114" s="207" t="n">
        <v>1.03</v>
      </c>
      <c r="P114" s="207" t="n">
        <v>1.03</v>
      </c>
      <c r="Q114" s="207" t="n">
        <v>1.03</v>
      </c>
      <c r="R114" s="449"/>
    </row>
    <row r="115" customFormat="false" ht="12.75" hidden="false" customHeight="false" outlineLevel="0" collapsed="false">
      <c r="A115" s="371" t="s">
        <v>524</v>
      </c>
      <c r="C115" s="270"/>
      <c r="D115" s="639"/>
      <c r="F115" s="463"/>
      <c r="G115" s="701"/>
      <c r="H115" s="701"/>
      <c r="I115" s="701"/>
      <c r="J115" s="207" t="n">
        <v>1.01</v>
      </c>
      <c r="K115" s="207" t="n">
        <v>1.01</v>
      </c>
      <c r="L115" s="207" t="n">
        <v>1.01</v>
      </c>
      <c r="M115" s="207" t="n">
        <v>1.01</v>
      </c>
      <c r="N115" s="207" t="n">
        <v>1.01</v>
      </c>
      <c r="O115" s="207" t="n">
        <v>1.01</v>
      </c>
      <c r="P115" s="207" t="n">
        <v>1.01</v>
      </c>
      <c r="Q115" s="207" t="n">
        <v>1.01</v>
      </c>
      <c r="R115" s="449"/>
    </row>
    <row r="116" customFormat="false" ht="12.75" hidden="false" customHeight="false" outlineLevel="0" collapsed="false">
      <c r="A116" s="371" t="s">
        <v>525</v>
      </c>
      <c r="C116" s="270"/>
      <c r="D116" s="639"/>
      <c r="F116" s="463"/>
      <c r="G116" s="701"/>
      <c r="H116" s="701"/>
      <c r="I116" s="701"/>
      <c r="J116" s="207" t="n">
        <v>1.01</v>
      </c>
      <c r="K116" s="207" t="n">
        <v>1.01</v>
      </c>
      <c r="L116" s="207" t="n">
        <v>1.01</v>
      </c>
      <c r="M116" s="207" t="n">
        <v>1.01</v>
      </c>
      <c r="N116" s="207" t="n">
        <v>1.01</v>
      </c>
      <c r="O116" s="207" t="n">
        <v>1.01</v>
      </c>
      <c r="P116" s="207" t="n">
        <v>1.01</v>
      </c>
      <c r="Q116" s="207" t="n">
        <v>1.01</v>
      </c>
      <c r="R116" s="449"/>
    </row>
    <row r="117" customFormat="false" ht="12.75" hidden="false" customHeight="false" outlineLevel="0" collapsed="false">
      <c r="A117" s="25" t="s">
        <v>347</v>
      </c>
      <c r="C117" s="270"/>
      <c r="D117" s="639"/>
      <c r="F117" s="463"/>
      <c r="G117" s="701"/>
      <c r="H117" s="701"/>
      <c r="I117" s="701"/>
      <c r="J117" s="207" t="n">
        <v>1.01</v>
      </c>
      <c r="K117" s="207" t="n">
        <v>1.01</v>
      </c>
      <c r="L117" s="207" t="n">
        <v>1.01</v>
      </c>
      <c r="M117" s="207" t="n">
        <v>1.01</v>
      </c>
      <c r="N117" s="207" t="n">
        <v>1.01</v>
      </c>
      <c r="O117" s="207" t="n">
        <v>1.01</v>
      </c>
      <c r="P117" s="207" t="n">
        <v>1.01</v>
      </c>
      <c r="Q117" s="207" t="n">
        <v>1.01</v>
      </c>
      <c r="R117" s="449"/>
    </row>
    <row r="118" customFormat="false" ht="12.75" hidden="false" customHeight="false" outlineLevel="0" collapsed="false">
      <c r="A118" s="529"/>
      <c r="D118" s="706"/>
      <c r="E118" s="706"/>
      <c r="F118" s="706"/>
      <c r="G118" s="426"/>
      <c r="H118" s="426"/>
      <c r="I118" s="426"/>
      <c r="J118" s="426"/>
      <c r="K118" s="426"/>
      <c r="L118" s="426"/>
      <c r="M118" s="426"/>
      <c r="N118" s="426"/>
      <c r="O118" s="426"/>
      <c r="P118" s="426"/>
      <c r="Q118" s="426"/>
      <c r="R118" s="449"/>
    </row>
    <row r="119" customFormat="false" ht="12.75" hidden="false" customHeight="false" outlineLevel="0" collapsed="false">
      <c r="A119" s="511"/>
      <c r="R119" s="449"/>
    </row>
    <row r="120" customFormat="false" ht="12.75" hidden="false" customHeight="false" outlineLevel="0" collapsed="false">
      <c r="A120" s="511"/>
      <c r="R120" s="449"/>
    </row>
    <row r="121" customFormat="false" ht="15.75" hidden="false" customHeight="false" outlineLevel="0" collapsed="false">
      <c r="A121" s="497" t="s">
        <v>359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449"/>
    </row>
    <row r="122" customFormat="false" ht="12.75" hidden="false" customHeight="false" outlineLevel="0" collapsed="false">
      <c r="D122" s="505"/>
      <c r="E122" s="505"/>
      <c r="F122" s="295"/>
      <c r="G122" s="306" t="s">
        <v>192</v>
      </c>
      <c r="H122" s="307"/>
      <c r="I122" s="295"/>
      <c r="J122" s="295"/>
      <c r="K122" s="176"/>
      <c r="L122" s="295"/>
      <c r="M122" s="176"/>
      <c r="N122" s="176"/>
      <c r="O122" s="176"/>
      <c r="P122" s="176"/>
      <c r="Q122" s="103"/>
    </row>
    <row r="123" customFormat="false" ht="12.75" hidden="false" customHeight="false" outlineLevel="0" collapsed="false">
      <c r="D123" s="308" t="n">
        <v>1998</v>
      </c>
      <c r="E123" s="308" t="n">
        <v>1999</v>
      </c>
      <c r="F123" s="308" t="n">
        <v>2000</v>
      </c>
      <c r="G123" s="308" t="n">
        <v>2001</v>
      </c>
      <c r="H123" s="309" t="n">
        <v>2002</v>
      </c>
      <c r="I123" s="309" t="n">
        <v>2003</v>
      </c>
      <c r="J123" s="309" t="n">
        <v>2004</v>
      </c>
      <c r="K123" s="309" t="n">
        <v>2005</v>
      </c>
      <c r="L123" s="309" t="n">
        <v>2006</v>
      </c>
      <c r="M123" s="310" t="n">
        <v>2007</v>
      </c>
      <c r="N123" s="310" t="n">
        <v>2008</v>
      </c>
      <c r="O123" s="310" t="n">
        <v>2009</v>
      </c>
      <c r="P123" s="310" t="n">
        <v>2010</v>
      </c>
      <c r="Q123" s="441" t="n">
        <v>2011</v>
      </c>
    </row>
    <row r="124" customFormat="false" ht="12.75" hidden="false" customHeight="false" outlineLevel="0" collapsed="false">
      <c r="F124" s="704" t="s">
        <v>193</v>
      </c>
      <c r="G124" s="308" t="n">
        <v>1</v>
      </c>
      <c r="H124" s="309" t="n">
        <v>2</v>
      </c>
      <c r="I124" s="309" t="n">
        <v>3</v>
      </c>
      <c r="J124" s="309" t="n">
        <v>4</v>
      </c>
      <c r="K124" s="309" t="n">
        <v>5</v>
      </c>
      <c r="L124" s="309" t="n">
        <v>6</v>
      </c>
      <c r="M124" s="309" t="n">
        <v>7</v>
      </c>
      <c r="N124" s="309" t="n">
        <v>8</v>
      </c>
      <c r="O124" s="309" t="n">
        <v>9</v>
      </c>
      <c r="P124" s="309" t="n">
        <v>10</v>
      </c>
      <c r="Q124" s="387" t="n">
        <v>11</v>
      </c>
    </row>
    <row r="125" customFormat="false" ht="12.75" hidden="false" customHeight="false" outlineLevel="0" collapsed="false">
      <c r="A125" s="548" t="s">
        <v>283</v>
      </c>
      <c r="B125" s="160" t="n">
        <f aca="false">Assumptions!D22</f>
        <v>40</v>
      </c>
      <c r="C125" s="823" t="n">
        <f aca="false">Asset3PurPrice</f>
        <v>27999.0482348996</v>
      </c>
      <c r="D125" s="712"/>
      <c r="E125" s="712"/>
      <c r="F125" s="513"/>
      <c r="G125" s="508"/>
      <c r="H125" s="846" t="n">
        <f aca="false">1/B125</f>
        <v>0.025</v>
      </c>
      <c r="I125" s="847" t="n">
        <f aca="false">H125</f>
        <v>0.025</v>
      </c>
      <c r="J125" s="847" t="n">
        <f aca="false">I125</f>
        <v>0.025</v>
      </c>
      <c r="K125" s="847" t="n">
        <f aca="false">J125</f>
        <v>0.025</v>
      </c>
      <c r="L125" s="847" t="n">
        <f aca="false">K125</f>
        <v>0.025</v>
      </c>
      <c r="M125" s="847" t="n">
        <f aca="false">L125</f>
        <v>0.025</v>
      </c>
      <c r="N125" s="847" t="n">
        <f aca="false">M125</f>
        <v>0.025</v>
      </c>
      <c r="O125" s="847" t="n">
        <f aca="false">N125</f>
        <v>0.025</v>
      </c>
      <c r="P125" s="847" t="n">
        <f aca="false">O125</f>
        <v>0.025</v>
      </c>
      <c r="Q125" s="847" t="n">
        <f aca="false">P125</f>
        <v>0.025</v>
      </c>
      <c r="R125" s="848" t="n">
        <f aca="false">Q125</f>
        <v>0.025</v>
      </c>
    </row>
    <row r="126" customFormat="false" ht="12.75" hidden="false" customHeight="false" outlineLevel="0" collapsed="false">
      <c r="A126" s="95" t="s">
        <v>284</v>
      </c>
      <c r="C126" s="711"/>
      <c r="D126" s="712"/>
      <c r="E126" s="712"/>
      <c r="F126" s="513"/>
      <c r="G126" s="508"/>
      <c r="H126" s="443" t="n">
        <f aca="false">C125/B125</f>
        <v>699.976205872491</v>
      </c>
      <c r="I126" s="443" t="n">
        <f aca="false">+H126</f>
        <v>699.976205872491</v>
      </c>
      <c r="J126" s="443" t="n">
        <f aca="false">+I126</f>
        <v>699.976205872491</v>
      </c>
      <c r="K126" s="443" t="n">
        <f aca="false">+J126</f>
        <v>699.976205872491</v>
      </c>
      <c r="L126" s="443" t="n">
        <f aca="false">+K126</f>
        <v>699.976205872491</v>
      </c>
      <c r="M126" s="443" t="n">
        <f aca="false">+L126</f>
        <v>699.976205872491</v>
      </c>
      <c r="N126" s="443" t="n">
        <f aca="false">+M126</f>
        <v>699.976205872491</v>
      </c>
      <c r="O126" s="443" t="n">
        <f aca="false">+N126</f>
        <v>699.976205872491</v>
      </c>
      <c r="P126" s="443" t="n">
        <f aca="false">+O126</f>
        <v>699.976205872491</v>
      </c>
      <c r="Q126" s="443" t="n">
        <f aca="false">+P126</f>
        <v>699.976205872491</v>
      </c>
      <c r="R126" s="443" t="n">
        <f aca="false">+Q126</f>
        <v>699.976205872491</v>
      </c>
    </row>
    <row r="127" customFormat="false" ht="12.75" hidden="false" customHeight="false" outlineLevel="0" collapsed="false">
      <c r="A127" s="95" t="s">
        <v>285</v>
      </c>
      <c r="D127" s="713"/>
      <c r="E127" s="713"/>
      <c r="F127" s="520"/>
      <c r="G127" s="508"/>
      <c r="H127" s="714" t="n">
        <f aca="false">($G$33*H125)</f>
        <v>17.5</v>
      </c>
      <c r="I127" s="714" t="n">
        <f aca="false">($G$33*I125)+($H$33*H125)</f>
        <v>35</v>
      </c>
      <c r="J127" s="714" t="n">
        <f aca="false">($G$33*J125)+($H$33*I125)+($I$33*H125)</f>
        <v>47.25</v>
      </c>
      <c r="K127" s="714" t="n">
        <f aca="false">($G$33*K125)+($H$33*J125)+($I$33*I125)+($J$33*H125)</f>
        <v>59.65625</v>
      </c>
      <c r="L127" s="714" t="n">
        <f aca="false">($G$33*L125)+($H$33*K125)+($I$33*J125)+($J$33*I125)+($K$33*H125)</f>
        <v>72.2209875</v>
      </c>
      <c r="M127" s="714" t="n">
        <f aca="false">($G$33*M125)+($H$33*L125)+($I$33*K125)+($J$33*J125)+($K$33*I125)+($L$33*H125)</f>
        <v>84.946485875</v>
      </c>
      <c r="N127" s="714" t="n">
        <f aca="false">($G$33*N125)+($H$33*M125)+($I$33*L125)+($J$33*K125)+($K$33*J125)+($L$33*I125)+($M$33*H125)</f>
        <v>97.83505500375</v>
      </c>
      <c r="O127" s="714" t="n">
        <f aca="false">($G$33*O125)+($H$33*N125)+($I$33*M125)+($J$33*L125)+($K$33*K125)+($L$33*J125)+($M$33*I125)+($N$33*H125)</f>
        <v>110.889041909188</v>
      </c>
      <c r="P127" s="714" t="n">
        <f aca="false">($G$33*P125)+($H$33*O125)+($I$33*N125)+($J$33*M125)+($K$33*L125)+($L$33*K125)+($M$33*J125)+($N$33*I125)+($O$33*H125)</f>
        <v>124.110831410787</v>
      </c>
      <c r="Q127" s="714" t="n">
        <f aca="false">($G$33*Q125)+($H$33*P125)+($I$33*O125)+($J$33*N125)+($K$33*M125)+($L$33*L125)+($M$33*K125)+($N$33*J125)+($O$33*I125)+($P$33*H125)</f>
        <v>137.502846789053</v>
      </c>
      <c r="R127" s="714" t="n">
        <f aca="false">($G$33*R125)+($H$33*Q125)+($I$33*P125)+($J$33*O125)+($K$33*N125)+($L$33*M125)+($M$33*L125)+($N$33*K125)+($O$33*J125)+($P$33*I125)+($Q$33*H125)</f>
        <v>151.067550462385</v>
      </c>
    </row>
    <row r="128" customFormat="false" ht="12.75" hidden="false" customHeight="false" outlineLevel="0" collapsed="false">
      <c r="A128" s="529" t="s">
        <v>362</v>
      </c>
      <c r="D128" s="712"/>
      <c r="E128" s="712"/>
      <c r="F128" s="513"/>
      <c r="G128" s="508"/>
      <c r="H128" s="426" t="n">
        <f aca="false">SUM(H126:H127)</f>
        <v>717.476205872491</v>
      </c>
      <c r="I128" s="426" t="n">
        <f aca="false">SUM(I126:I127)</f>
        <v>734.976205872491</v>
      </c>
      <c r="J128" s="426" t="n">
        <f aca="false">SUM(J126:J127)</f>
        <v>747.226205872491</v>
      </c>
      <c r="K128" s="426" t="n">
        <f aca="false">SUM(K126:K127)</f>
        <v>759.632455872491</v>
      </c>
      <c r="L128" s="426" t="n">
        <f aca="false">SUM(L126:L127)</f>
        <v>772.197193372491</v>
      </c>
      <c r="M128" s="426" t="n">
        <f aca="false">SUM(M126:M127)</f>
        <v>784.922691747491</v>
      </c>
      <c r="N128" s="426" t="n">
        <f aca="false">SUM(N126:N127)</f>
        <v>797.811260876241</v>
      </c>
      <c r="O128" s="426" t="n">
        <f aca="false">SUM(O126:O127)</f>
        <v>810.865247781678</v>
      </c>
      <c r="P128" s="426" t="n">
        <f aca="false">SUM(P126:P127)</f>
        <v>824.087037283278</v>
      </c>
      <c r="Q128" s="426" t="n">
        <f aca="false">SUM(Q126:Q127)</f>
        <v>837.479052661544</v>
      </c>
      <c r="R128" s="426" t="n">
        <f aca="false">SUM(R126:R127)</f>
        <v>851.043756334876</v>
      </c>
    </row>
    <row r="129" customFormat="false" ht="12.75" hidden="false" customHeight="false" outlineLevel="0" collapsed="false">
      <c r="A129" s="95"/>
      <c r="D129" s="712"/>
      <c r="E129" s="712"/>
      <c r="F129" s="513"/>
      <c r="G129" s="513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customFormat="false" ht="12.75" hidden="false" customHeight="false" outlineLevel="0" collapsed="false">
      <c r="A130" s="541" t="s">
        <v>286</v>
      </c>
      <c r="D130" s="712"/>
      <c r="E130" s="712"/>
      <c r="F130" s="513"/>
      <c r="G130" s="508"/>
      <c r="H130" s="555" t="n">
        <v>0.05</v>
      </c>
      <c r="I130" s="556" t="n">
        <v>0.095</v>
      </c>
      <c r="J130" s="556" t="n">
        <v>0.0855</v>
      </c>
      <c r="K130" s="556" t="n">
        <v>0.077</v>
      </c>
      <c r="L130" s="556" t="n">
        <v>0.0693</v>
      </c>
      <c r="M130" s="556" t="n">
        <v>0.0623</v>
      </c>
      <c r="N130" s="556" t="n">
        <v>0.059</v>
      </c>
      <c r="O130" s="556" t="n">
        <v>0.059</v>
      </c>
      <c r="P130" s="556" t="n">
        <v>0.0591</v>
      </c>
      <c r="Q130" s="556" t="n">
        <v>0.059</v>
      </c>
      <c r="R130" s="557" t="n">
        <v>0.0591</v>
      </c>
    </row>
    <row r="131" customFormat="false" ht="12.75" hidden="false" customHeight="false" outlineLevel="0" collapsed="false">
      <c r="A131" s="95" t="s">
        <v>284</v>
      </c>
      <c r="B131" s="558"/>
      <c r="D131" s="712"/>
      <c r="E131" s="712"/>
      <c r="F131" s="513"/>
      <c r="G131" s="508"/>
      <c r="H131" s="95" t="n">
        <f aca="false">H130*$C$125</f>
        <v>1399.95241174498</v>
      </c>
      <c r="I131" s="95" t="n">
        <f aca="false">I130*$C$125</f>
        <v>2659.90958231546</v>
      </c>
      <c r="J131" s="95" t="n">
        <f aca="false">J130*$C$125</f>
        <v>2393.91862408392</v>
      </c>
      <c r="K131" s="95" t="n">
        <f aca="false">K130*$C$125</f>
        <v>2155.92671408727</v>
      </c>
      <c r="L131" s="95" t="n">
        <f aca="false">L130*$C$125</f>
        <v>1940.33404267854</v>
      </c>
      <c r="M131" s="95" t="n">
        <f aca="false">M130*$C$125</f>
        <v>1744.34070503425</v>
      </c>
      <c r="N131" s="95" t="n">
        <f aca="false">N130*$C$125</f>
        <v>1651.94384585908</v>
      </c>
      <c r="O131" s="95" t="n">
        <f aca="false">O130*$C$125</f>
        <v>1651.94384585908</v>
      </c>
      <c r="P131" s="95" t="n">
        <f aca="false">P130*$C$125</f>
        <v>1654.74375068257</v>
      </c>
      <c r="Q131" s="95" t="n">
        <f aca="false">Q130*$C$125</f>
        <v>1651.94384585908</v>
      </c>
      <c r="R131" s="95" t="n">
        <f aca="false">R130*$C$125</f>
        <v>1654.74375068257</v>
      </c>
    </row>
    <row r="132" customFormat="false" ht="15" hidden="false" customHeight="false" outlineLevel="0" collapsed="false">
      <c r="A132" s="95" t="s">
        <v>285</v>
      </c>
      <c r="B132" s="530"/>
      <c r="D132" s="720"/>
      <c r="E132" s="720"/>
      <c r="F132" s="513"/>
      <c r="G132" s="508"/>
      <c r="H132" s="446" t="n">
        <f aca="false">($G$33*H$130)</f>
        <v>35</v>
      </c>
      <c r="I132" s="446" t="n">
        <f aca="false">($G$33*I130)+($H$33*H130)</f>
        <v>101.5</v>
      </c>
      <c r="J132" s="446" t="n">
        <f aca="false">($G$33*J130)+($H$33*I130)+($I$33*H130)</f>
        <v>150.85</v>
      </c>
      <c r="K132" s="446" t="n">
        <f aca="false">($G$33*K130)+($H$33*J130)+($I$33*I130)+($J$33*H130)</f>
        <v>185.1125</v>
      </c>
      <c r="L132" s="446" t="n">
        <f aca="false">($G$33*L130)+($H$33*K130)+($I$33*J130)+($J$33*I130)+($K$33*H130)</f>
        <v>216.578225</v>
      </c>
      <c r="M132" s="446" t="n">
        <f aca="false">($G$33*M130)+($H$33*L130)+($I$33*K130)+($J$33*J130)+($K$33*I130)+($L$33*H130)</f>
        <v>245.47637425</v>
      </c>
      <c r="N132" s="446" t="n">
        <f aca="false">($G$33*N130)+($H$33*M130)+($I$33*L130)+($J$33*K130)+($K$33*J130)+($L$33*I130)+($M$33*H130)</f>
        <v>274.1836843325</v>
      </c>
      <c r="O132" s="446" t="n">
        <f aca="false">($G$33*O130)+($H$33*N130)+($I$33*M130)+($J$33*L130)+($K$33*K130)+($L$33*J130)+($M$33*I130)+($N$33*H130)</f>
        <v>304.822257442625</v>
      </c>
      <c r="P132" s="446" t="n">
        <f aca="false">($G$33*P130)+($H$33*O130)+($I$33*N130)+($J$33*M130)+($K$33*L130)+($L$33*K130)+($M$33*J130)+($N$33*I130)+($O$33*H130)</f>
        <v>336.647998009187</v>
      </c>
      <c r="Q132" s="446" t="n">
        <f aca="false">($G$33*Q130)+($H$33*P130)+($I$33*O130)+($J$33*N130)+($K$33*M130)+($L$33*L130)+($M$33*K130)+($N$33*J130)+($O$33*I130)+($P$33*H130)</f>
        <v>368.813416341258</v>
      </c>
      <c r="R132" s="446" t="n">
        <f aca="false">($G$33*R130)+($H$33*Q130)+($I$33*P130)+($J$33*O130)+($K$33*N130)+($L$33*M130)+($M$33*L130)+($N$33*K130)+($O$33*J130)+($P$33*I130)+($Q$33*H130)</f>
        <v>401.443451623689</v>
      </c>
    </row>
    <row r="133" customFormat="false" ht="12.75" hidden="false" customHeight="false" outlineLevel="0" collapsed="false">
      <c r="A133" s="529" t="s">
        <v>365</v>
      </c>
      <c r="D133" s="712"/>
      <c r="E133" s="712"/>
      <c r="F133" s="513"/>
      <c r="G133" s="508"/>
      <c r="H133" s="95" t="n">
        <f aca="false">SUM(H131:H132)</f>
        <v>1434.95241174498</v>
      </c>
      <c r="I133" s="95" t="n">
        <f aca="false">SUM(I131:I132)</f>
        <v>2761.40958231546</v>
      </c>
      <c r="J133" s="95" t="n">
        <f aca="false">SUM(J131:J132)</f>
        <v>2544.76862408392</v>
      </c>
      <c r="K133" s="95" t="n">
        <f aca="false">SUM(K131:K132)</f>
        <v>2341.03921408727</v>
      </c>
      <c r="L133" s="95" t="n">
        <f aca="false">SUM(L131:L132)</f>
        <v>2156.91226767854</v>
      </c>
      <c r="M133" s="95" t="n">
        <f aca="false">SUM(M131:M132)</f>
        <v>1989.81707928425</v>
      </c>
      <c r="N133" s="95" t="n">
        <f aca="false">SUM(N131:N132)</f>
        <v>1926.12753019158</v>
      </c>
      <c r="O133" s="95" t="n">
        <f aca="false">SUM(O131:O132)</f>
        <v>1956.7661033017</v>
      </c>
      <c r="P133" s="95" t="n">
        <f aca="false">SUM(P131:P132)</f>
        <v>1991.39174869175</v>
      </c>
      <c r="Q133" s="95" t="n">
        <f aca="false">SUM(Q131:Q132)</f>
        <v>2020.75726220034</v>
      </c>
      <c r="R133" s="95" t="n">
        <f aca="false">SUM(R131:R132)</f>
        <v>2056.18720230626</v>
      </c>
    </row>
  </sheetData>
  <mergeCells count="1">
    <mergeCell ref="K40:M40"/>
  </mergeCells>
  <conditionalFormatting sqref="C11">
    <cfRule type="cellIs" priority="2" operator="notBetween" aboveAverage="0" equalAverage="0" bottom="0" percent="0" rank="0" text="" dxfId="3">
      <formula>0.25</formula>
      <formula>-0.25</formula>
    </cfRule>
  </conditionalFormatting>
  <printOptions headings="false" gridLines="false" gridLinesSet="true" horizontalCentered="false" verticalCentered="false"/>
  <pageMargins left="0.309722222222222" right="0.170138888888889" top="0.620138888888889" bottom="0.3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45" man="true" max="16383" min="0"/>
  </rowBreak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33"/>
  <sheetViews>
    <sheetView showFormulas="false" showGridLines="false" showRowColHeaders="true" showZeros="true" rightToLeft="false" tabSelected="false" showOutlineSymbols="true" defaultGridColor="true" view="normal" topLeftCell="C25" colorId="64" zoomScale="75" zoomScaleNormal="75" zoomScalePageLayoutView="100" workbookViewId="0">
      <selection pane="topLeft" activeCell="J50" activeCellId="0" sqref="J50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0" width="32.56"/>
    <col collapsed="false" customWidth="true" hidden="false" outlineLevel="1" max="2" min="2" style="0" width="15.85"/>
    <col collapsed="false" customWidth="true" hidden="false" outlineLevel="1" max="3" min="3" style="0" width="12.85"/>
    <col collapsed="false" customWidth="true" hidden="false" outlineLevel="0" max="5" min="4" style="449" width="14.56"/>
    <col collapsed="false" customWidth="true" hidden="false" outlineLevel="0" max="6" min="6" style="449" width="15.7"/>
    <col collapsed="false" customWidth="true" hidden="false" outlineLevel="0" max="7" min="7" style="0" width="16.84"/>
    <col collapsed="false" customWidth="true" hidden="false" outlineLevel="0" max="9" min="8" style="0" width="14.99"/>
    <col collapsed="false" customWidth="true" hidden="false" outlineLevel="0" max="10" min="10" style="0" width="14.56"/>
    <col collapsed="false" customWidth="true" hidden="false" outlineLevel="0" max="11" min="11" style="0" width="12.28"/>
    <col collapsed="false" customWidth="true" hidden="false" outlineLevel="0" max="12" min="12" style="0" width="13.99"/>
    <col collapsed="false" customWidth="true" hidden="false" outlineLevel="0" max="14" min="13" style="0" width="13.41"/>
    <col collapsed="false" customWidth="true" hidden="false" outlineLevel="0" max="17" min="15" style="0" width="12.28"/>
    <col collapsed="false" customWidth="true" hidden="false" outlineLevel="0" max="18" min="18" style="0" width="13.41"/>
  </cols>
  <sheetData>
    <row r="1" customFormat="false" ht="18" hidden="false" customHeight="false" outlineLevel="0" collapsed="false">
      <c r="A1" s="785" t="str">
        <f aca="false">Assumptions!D7</f>
        <v>Wolverine</v>
      </c>
      <c r="B1" s="10"/>
      <c r="C1" s="12"/>
      <c r="D1" s="375"/>
      <c r="E1" s="375"/>
      <c r="F1" s="65" t="s">
        <v>50</v>
      </c>
      <c r="G1" s="607"/>
      <c r="H1" s="608"/>
    </row>
    <row r="2" customFormat="false" ht="15.75" hidden="false" customHeight="false" outlineLevel="0" collapsed="false">
      <c r="A2" s="849" t="s">
        <v>347</v>
      </c>
      <c r="B2" s="610"/>
      <c r="C2" s="19"/>
      <c r="D2" s="611"/>
      <c r="E2" s="611"/>
      <c r="F2" s="612"/>
      <c r="G2" s="138"/>
      <c r="H2" s="613"/>
      <c r="I2" s="138"/>
      <c r="R2" s="449"/>
    </row>
    <row r="3" customFormat="false" ht="16.5" hidden="false" customHeight="false" outlineLevel="0" collapsed="false">
      <c r="A3" s="800"/>
      <c r="B3" s="801"/>
      <c r="C3" s="30"/>
      <c r="D3" s="611"/>
      <c r="E3" s="611"/>
      <c r="F3" s="612"/>
      <c r="G3" s="17"/>
      <c r="H3" s="613"/>
      <c r="I3" s="138"/>
      <c r="R3" s="449"/>
    </row>
    <row r="4" customFormat="false" ht="13.5" hidden="false" customHeight="false" outlineLevel="0" collapsed="false">
      <c r="A4" s="615"/>
      <c r="B4" s="610"/>
      <c r="D4" s="611"/>
      <c r="E4" s="611"/>
      <c r="F4" s="616"/>
      <c r="G4" s="617"/>
      <c r="H4" s="618"/>
      <c r="I4" s="138"/>
      <c r="R4" s="449"/>
    </row>
    <row r="5" customFormat="false" ht="12.75" hidden="false" customHeight="false" outlineLevel="0" collapsed="false">
      <c r="A5" s="615"/>
      <c r="B5" s="610"/>
      <c r="D5" s="611"/>
      <c r="E5" s="611"/>
      <c r="F5" s="83"/>
      <c r="G5" s="138"/>
      <c r="H5" s="138"/>
      <c r="I5" s="138"/>
      <c r="R5" s="449"/>
    </row>
    <row r="6" customFormat="false" ht="15.75" hidden="false" customHeight="false" outlineLevel="0" collapsed="false">
      <c r="A6" s="497" t="s">
        <v>266</v>
      </c>
      <c r="B6" s="498"/>
      <c r="C6" s="131"/>
      <c r="D6" s="499"/>
      <c r="E6" s="499"/>
      <c r="F6" s="131"/>
      <c r="G6" s="500"/>
      <c r="H6" s="500"/>
      <c r="I6" s="500"/>
      <c r="J6" s="131"/>
      <c r="K6" s="131"/>
      <c r="L6" s="131"/>
      <c r="M6" s="131"/>
      <c r="N6" s="131"/>
      <c r="O6" s="131"/>
      <c r="P6" s="131"/>
      <c r="Q6" s="131"/>
      <c r="R6" s="503"/>
    </row>
    <row r="7" customFormat="false" ht="12.75" hidden="false" customHeight="false" outlineLevel="0" collapsed="false">
      <c r="D7" s="505"/>
      <c r="E7" s="505"/>
      <c r="F7" s="295"/>
      <c r="G7" s="306" t="s">
        <v>192</v>
      </c>
      <c r="H7" s="307"/>
      <c r="I7" s="295"/>
      <c r="J7" s="295"/>
      <c r="K7" s="176"/>
      <c r="L7" s="295"/>
      <c r="M7" s="176"/>
      <c r="N7" s="176"/>
      <c r="O7" s="176"/>
      <c r="P7" s="176"/>
      <c r="Q7" s="103"/>
      <c r="R7" s="619"/>
      <c r="S7" s="619"/>
    </row>
    <row r="8" customFormat="false" ht="12.75" hidden="false" customHeight="false" outlineLevel="0" collapsed="false">
      <c r="D8" s="308" t="n">
        <v>1998</v>
      </c>
      <c r="E8" s="308" t="n">
        <v>1999</v>
      </c>
      <c r="F8" s="308" t="n">
        <v>2000</v>
      </c>
      <c r="G8" s="308" t="n">
        <v>2001</v>
      </c>
      <c r="H8" s="309" t="n">
        <v>2002</v>
      </c>
      <c r="I8" s="309" t="n">
        <v>2003</v>
      </c>
      <c r="J8" s="309" t="n">
        <v>2004</v>
      </c>
      <c r="K8" s="309" t="n">
        <v>2005</v>
      </c>
      <c r="L8" s="309" t="n">
        <v>2006</v>
      </c>
      <c r="M8" s="310" t="n">
        <v>2007</v>
      </c>
      <c r="N8" s="310" t="n">
        <v>2008</v>
      </c>
      <c r="O8" s="310" t="n">
        <v>2009</v>
      </c>
      <c r="P8" s="310" t="n">
        <v>2010</v>
      </c>
      <c r="Q8" s="441" t="n">
        <v>2011</v>
      </c>
      <c r="R8" s="95"/>
      <c r="S8" s="95"/>
    </row>
    <row r="9" customFormat="false" ht="12.75" hidden="false" customHeight="false" outlineLevel="0" collapsed="false">
      <c r="F9" s="312" t="s">
        <v>193</v>
      </c>
      <c r="G9" s="308" t="n">
        <v>1</v>
      </c>
      <c r="H9" s="309" t="n">
        <v>2</v>
      </c>
      <c r="I9" s="309" t="n">
        <v>3</v>
      </c>
      <c r="J9" s="309" t="n">
        <v>4</v>
      </c>
      <c r="K9" s="309" t="n">
        <v>5</v>
      </c>
      <c r="L9" s="309" t="n">
        <v>6</v>
      </c>
      <c r="M9" s="309" t="n">
        <v>7</v>
      </c>
      <c r="N9" s="309" t="n">
        <v>8</v>
      </c>
      <c r="O9" s="309" t="n">
        <v>9</v>
      </c>
      <c r="P9" s="309" t="n">
        <v>10</v>
      </c>
      <c r="Q9" s="387" t="n">
        <v>11</v>
      </c>
      <c r="R9" s="95"/>
      <c r="S9" s="95"/>
    </row>
    <row r="10" customFormat="false" ht="12.75" hidden="false" customHeight="false" outlineLevel="0" collapsed="false">
      <c r="D10" s="611"/>
      <c r="E10" s="611"/>
      <c r="F10" s="95"/>
      <c r="G10" s="554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449"/>
    </row>
    <row r="11" customFormat="false" ht="12.75" hidden="false" customHeight="false" outlineLevel="0" collapsed="false">
      <c r="A11" s="621" t="s">
        <v>269</v>
      </c>
      <c r="B11" s="622"/>
      <c r="C11" s="623"/>
      <c r="D11" s="631" t="n">
        <f aca="false">D59</f>
        <v>1324</v>
      </c>
      <c r="E11" s="631" t="n">
        <f aca="false">E59</f>
        <v>1495</v>
      </c>
      <c r="F11" s="631" t="n">
        <f aca="false">F59</f>
        <v>4220</v>
      </c>
      <c r="G11" s="631" t="n">
        <f aca="false">G59</f>
        <v>11660</v>
      </c>
      <c r="H11" s="426" t="n">
        <f aca="false">H59</f>
        <v>14392.6</v>
      </c>
      <c r="I11" s="426" t="n">
        <f aca="false">I59</f>
        <v>17804.6876</v>
      </c>
      <c r="J11" s="426" t="n">
        <f aca="false">J59</f>
        <v>20368.24036</v>
      </c>
      <c r="K11" s="426" t="n">
        <f aca="false">K59</f>
        <v>23314.18137884</v>
      </c>
      <c r="L11" s="426" t="n">
        <f aca="false">L59</f>
        <v>24454.46406589</v>
      </c>
      <c r="M11" s="426" t="n">
        <f aca="false">M59</f>
        <v>25651.279901189</v>
      </c>
      <c r="N11" s="426" t="n">
        <f aca="false">N59</f>
        <v>24431.9392064989</v>
      </c>
      <c r="O11" s="426" t="n">
        <f aca="false">O59</f>
        <v>23274.9051439281</v>
      </c>
      <c r="P11" s="426" t="n">
        <f aca="false">P59</f>
        <v>19942.9493136856</v>
      </c>
      <c r="Q11" s="426" t="n">
        <f aca="false">Q59</f>
        <v>17114.1157155225</v>
      </c>
      <c r="R11" s="449"/>
    </row>
    <row r="12" customFormat="false" ht="12.75" hidden="false" customHeight="false" outlineLevel="0" collapsed="false">
      <c r="D12" s="626"/>
      <c r="E12" s="626"/>
      <c r="F12" s="513"/>
      <c r="G12" s="627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449"/>
    </row>
    <row r="13" customFormat="false" ht="12.75" hidden="false" customHeight="false" outlineLevel="0" collapsed="false">
      <c r="A13" s="25" t="s">
        <v>314</v>
      </c>
      <c r="B13" s="628"/>
      <c r="C13" s="17"/>
      <c r="D13" s="631" t="n">
        <f aca="false">D83</f>
        <v>1785</v>
      </c>
      <c r="E13" s="631" t="n">
        <f aca="false">E83</f>
        <v>1769</v>
      </c>
      <c r="F13" s="631" t="n">
        <f aca="false">F83</f>
        <v>4275</v>
      </c>
      <c r="G13" s="631" t="n">
        <f aca="false">G83</f>
        <v>11282</v>
      </c>
      <c r="H13" s="426" t="n">
        <f aca="false">H83</f>
        <v>13877.62</v>
      </c>
      <c r="I13" s="426" t="n">
        <f aca="false">I83</f>
        <v>17116.521</v>
      </c>
      <c r="J13" s="426" t="n">
        <f aca="false">J83</f>
        <v>19552.814478</v>
      </c>
      <c r="K13" s="426" t="n">
        <f aca="false">K83</f>
        <v>22351.2764673</v>
      </c>
      <c r="L13" s="426" t="n">
        <f aca="false">L83</f>
        <v>23441.4682736282</v>
      </c>
      <c r="M13" s="426" t="n">
        <f aca="false">M83</f>
        <v>24585.5069778299</v>
      </c>
      <c r="N13" s="426" t="n">
        <f aca="false">N83</f>
        <v>23443.6097192463</v>
      </c>
      <c r="O13" s="426" t="n">
        <f aca="false">O83</f>
        <v>22361.0439692187</v>
      </c>
      <c r="P13" s="426" t="n">
        <f aca="false">P83</f>
        <v>19220.8337667845</v>
      </c>
      <c r="Q13" s="426" t="n">
        <f aca="false">Q83</f>
        <v>16557.1014778815</v>
      </c>
      <c r="R13" s="449"/>
    </row>
    <row r="14" customFormat="false" ht="12.75" hidden="false" customHeight="false" outlineLevel="0" collapsed="false">
      <c r="A14" s="25"/>
      <c r="B14" s="628"/>
      <c r="C14" s="17"/>
      <c r="D14" s="802"/>
      <c r="E14" s="802"/>
      <c r="F14" s="802"/>
      <c r="G14" s="80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49"/>
    </row>
    <row r="15" customFormat="false" ht="12.75" hidden="false" customHeight="false" outlineLevel="0" collapsed="false">
      <c r="A15" s="25" t="s">
        <v>230</v>
      </c>
      <c r="B15" s="17"/>
      <c r="C15" s="17"/>
      <c r="D15" s="631" t="n">
        <f aca="false">(D11-D13)</f>
        <v>-461</v>
      </c>
      <c r="E15" s="631" t="n">
        <f aca="false">(E11-E13)</f>
        <v>-274</v>
      </c>
      <c r="F15" s="631" t="n">
        <f aca="false">(F11-F13)</f>
        <v>-55</v>
      </c>
      <c r="G15" s="631" t="n">
        <f aca="false">(G11-G13)</f>
        <v>378</v>
      </c>
      <c r="H15" s="426" t="n">
        <f aca="false">(H11-H13)</f>
        <v>514.98</v>
      </c>
      <c r="I15" s="426" t="n">
        <f aca="false">(I11-I13)</f>
        <v>688.166600000001</v>
      </c>
      <c r="J15" s="426" t="n">
        <f aca="false">(J11-J13)</f>
        <v>815.425882</v>
      </c>
      <c r="K15" s="426" t="n">
        <f aca="false">(K11-K13)</f>
        <v>962.904911540001</v>
      </c>
      <c r="L15" s="426" t="n">
        <f aca="false">(L11-L13)</f>
        <v>1012.99579226181</v>
      </c>
      <c r="M15" s="426" t="n">
        <f aca="false">(M11-M13)</f>
        <v>1065.77292335911</v>
      </c>
      <c r="N15" s="426" t="n">
        <f aca="false">(N11-N13)</f>
        <v>988.329487252628</v>
      </c>
      <c r="O15" s="426" t="n">
        <f aca="false">(O11-O13)</f>
        <v>913.861174709422</v>
      </c>
      <c r="P15" s="426" t="n">
        <f aca="false">(P11-P13)</f>
        <v>722.115546901026</v>
      </c>
      <c r="Q15" s="426" t="n">
        <f aca="false">(Q11-Q13)</f>
        <v>557.01423764104</v>
      </c>
      <c r="R15" s="449"/>
    </row>
    <row r="16" customFormat="false" ht="12.75" hidden="false" customHeight="false" outlineLevel="0" collapsed="false">
      <c r="A16" s="688" t="s">
        <v>512</v>
      </c>
      <c r="B16" s="53"/>
      <c r="C16" s="53"/>
      <c r="D16" s="523" t="n">
        <f aca="false">D11/D13</f>
        <v>0.741736694677871</v>
      </c>
      <c r="E16" s="523" t="n">
        <f aca="false">E11/E13</f>
        <v>0.845110231769361</v>
      </c>
      <c r="F16" s="523" t="n">
        <f aca="false">F11/F13</f>
        <v>0.987134502923977</v>
      </c>
      <c r="G16" s="523" t="n">
        <f aca="false">G11/G13</f>
        <v>1.03350469774863</v>
      </c>
      <c r="H16" s="524" t="n">
        <f aca="false">H11/H13</f>
        <v>1.03710866848927</v>
      </c>
      <c r="I16" s="524" t="n">
        <f aca="false">I11/I13</f>
        <v>1.0402048173224</v>
      </c>
      <c r="J16" s="524" t="n">
        <f aca="false">J11/J13</f>
        <v>1.04170375998389</v>
      </c>
      <c r="K16" s="524" t="n">
        <f aca="false">K11/K13</f>
        <v>1.04308053336232</v>
      </c>
      <c r="L16" s="524" t="n">
        <f aca="false">L11/L13</f>
        <v>1.04321383713841</v>
      </c>
      <c r="M16" s="524" t="n">
        <f aca="false">M11/M13</f>
        <v>1.04334964189757</v>
      </c>
      <c r="N16" s="524" t="n">
        <f aca="false">N11/N13</f>
        <v>1.04215773505397</v>
      </c>
      <c r="O16" s="524" t="n">
        <f aca="false">O11/O13</f>
        <v>1.04086844853789</v>
      </c>
      <c r="P16" s="524" t="n">
        <f aca="false">P11/P13</f>
        <v>1.03756941845826</v>
      </c>
      <c r="Q16" s="524" t="n">
        <f aca="false">Q11/Q13</f>
        <v>1.03364201387454</v>
      </c>
      <c r="R16" s="449"/>
    </row>
    <row r="17" customFormat="false" ht="12.75" hidden="false" customHeight="false" outlineLevel="0" collapsed="false">
      <c r="A17" s="688" t="s">
        <v>513</v>
      </c>
      <c r="B17" s="53"/>
      <c r="C17" s="53"/>
      <c r="D17" s="803" t="n">
        <f aca="false">(D11-D13)/D11</f>
        <v>-0.348187311178248</v>
      </c>
      <c r="E17" s="803" t="n">
        <f aca="false">(E11-E13)/E11</f>
        <v>-0.183277591973244</v>
      </c>
      <c r="F17" s="803" t="n">
        <f aca="false">(F11-F13)/F11</f>
        <v>-0.0130331753554502</v>
      </c>
      <c r="G17" s="803" t="n">
        <f aca="false">(G11-G13)/G11</f>
        <v>0.0324185248713551</v>
      </c>
      <c r="H17" s="689" t="n">
        <f aca="false">(H11-H13)/H11</f>
        <v>0.0357808874004697</v>
      </c>
      <c r="I17" s="689" t="n">
        <f aca="false">(I11-I13)/I11</f>
        <v>0.0386508663033212</v>
      </c>
      <c r="J17" s="689" t="n">
        <f aca="false">(J11-J13)/J11</f>
        <v>0.0400341839838736</v>
      </c>
      <c r="K17" s="689" t="n">
        <f aca="false">(K11-K13)/K11</f>
        <v>0.0413012533399065</v>
      </c>
      <c r="L17" s="689" t="n">
        <f aca="false">(L11-L13)/L11</f>
        <v>0.041423757622837</v>
      </c>
      <c r="M17" s="689" t="n">
        <f aca="false">(M11-M13)/M11</f>
        <v>0.0415485280837665</v>
      </c>
      <c r="N17" s="689" t="n">
        <f aca="false">(N11-N13)/N11</f>
        <v>0.0404523553738104</v>
      </c>
      <c r="O17" s="689" t="n">
        <f aca="false">(O11-O13)/O11</f>
        <v>0.0392637980287463</v>
      </c>
      <c r="P17" s="689" t="n">
        <f aca="false">(P11-P13)/P11</f>
        <v>0.0362090649453481</v>
      </c>
      <c r="Q17" s="689" t="n">
        <f aca="false">(Q11-Q13)/Q11</f>
        <v>0.0325470650602081</v>
      </c>
      <c r="R17" s="449"/>
    </row>
    <row r="18" customFormat="false" ht="12.75" hidden="false" customHeight="false" outlineLevel="0" collapsed="false">
      <c r="D18" s="508"/>
      <c r="E18" s="508"/>
      <c r="F18" s="508"/>
      <c r="G18" s="508"/>
      <c r="R18" s="449"/>
    </row>
    <row r="19" customFormat="false" ht="12.75" hidden="false" customHeight="false" outlineLevel="0" collapsed="false">
      <c r="A19" s="371" t="s">
        <v>514</v>
      </c>
      <c r="D19" s="804" t="n">
        <v>14</v>
      </c>
      <c r="E19" s="804" t="n">
        <v>25</v>
      </c>
      <c r="F19" s="805" t="n">
        <v>54</v>
      </c>
      <c r="G19" s="806" t="n">
        <f aca="false">4*2</f>
        <v>8</v>
      </c>
      <c r="H19" s="428" t="n">
        <f aca="false">G19*Curves!E34</f>
        <v>8.08</v>
      </c>
      <c r="I19" s="428" t="n">
        <f aca="false">H19*Curves!F34</f>
        <v>8.1608</v>
      </c>
      <c r="J19" s="428" t="n">
        <f aca="false">I19*Curves!G34</f>
        <v>8.242408</v>
      </c>
      <c r="K19" s="428" t="n">
        <f aca="false">J19*Curves!H34</f>
        <v>8.32483208</v>
      </c>
      <c r="L19" s="428" t="n">
        <f aca="false">K19*Curves!I34</f>
        <v>8.4080804008</v>
      </c>
      <c r="M19" s="428" t="n">
        <f aca="false">L19*Curves!J34</f>
        <v>8.492161204808</v>
      </c>
      <c r="N19" s="428" t="n">
        <f aca="false">M19*Curves!K34</f>
        <v>8.57708281685608</v>
      </c>
      <c r="O19" s="428" t="n">
        <f aca="false">N19*Curves!L34</f>
        <v>8.66285364502464</v>
      </c>
      <c r="P19" s="428" t="n">
        <f aca="false">O19*Curves!M34</f>
        <v>8.74948218147489</v>
      </c>
      <c r="Q19" s="428" t="n">
        <f aca="false">P19*Curves!N34</f>
        <v>8.83697700328964</v>
      </c>
      <c r="R19" s="449"/>
    </row>
    <row r="20" customFormat="false" ht="12.75" hidden="false" customHeight="false" outlineLevel="0" collapsed="false">
      <c r="A20" s="371" t="s">
        <v>275</v>
      </c>
      <c r="D20" s="804" t="n">
        <v>0</v>
      </c>
      <c r="E20" s="804" t="n">
        <v>-84</v>
      </c>
      <c r="F20" s="805" t="n">
        <v>-329</v>
      </c>
      <c r="G20" s="806" t="n">
        <v>0</v>
      </c>
      <c r="H20" s="428" t="n">
        <f aca="false">G20</f>
        <v>0</v>
      </c>
      <c r="I20" s="428" t="n">
        <f aca="false">H20*Curves!F35</f>
        <v>0</v>
      </c>
      <c r="J20" s="428" t="n">
        <f aca="false">I20*Curves!G35</f>
        <v>0</v>
      </c>
      <c r="K20" s="428" t="n">
        <f aca="false">J20*Curves!H35</f>
        <v>0</v>
      </c>
      <c r="L20" s="428" t="n">
        <f aca="false">K20*Curves!I35</f>
        <v>0</v>
      </c>
      <c r="M20" s="428" t="n">
        <f aca="false">L20*Curves!J35</f>
        <v>0</v>
      </c>
      <c r="N20" s="428" t="n">
        <f aca="false">M20*Curves!K35</f>
        <v>0</v>
      </c>
      <c r="O20" s="428" t="n">
        <f aca="false">N20*Curves!L35</f>
        <v>0</v>
      </c>
      <c r="P20" s="428" t="n">
        <f aca="false">O20*Curves!M35</f>
        <v>0</v>
      </c>
      <c r="Q20" s="428" t="n">
        <f aca="false">P20*Curves!N35</f>
        <v>0</v>
      </c>
      <c r="R20" s="449"/>
    </row>
    <row r="21" customFormat="false" ht="12.75" hidden="false" customHeight="false" outlineLevel="0" collapsed="false">
      <c r="A21" s="371" t="s">
        <v>515</v>
      </c>
      <c r="B21" s="530"/>
      <c r="D21" s="804" t="n">
        <v>484</v>
      </c>
      <c r="E21" s="804" t="n">
        <v>595</v>
      </c>
      <c r="F21" s="805" t="n">
        <v>637</v>
      </c>
      <c r="G21" s="807" t="n">
        <f aca="false">269*2</f>
        <v>538</v>
      </c>
      <c r="H21" s="278" t="n">
        <f aca="false">H128</f>
        <v>57.3914763875172</v>
      </c>
      <c r="I21" s="278" t="n">
        <f aca="false">I128</f>
        <v>67.8914763875172</v>
      </c>
      <c r="J21" s="278" t="n">
        <f aca="false">J128</f>
        <v>80.3914763875172</v>
      </c>
      <c r="K21" s="278" t="n">
        <f aca="false">K128</f>
        <v>93.1989763875172</v>
      </c>
      <c r="L21" s="278" t="n">
        <f aca="false">L128</f>
        <v>106.321926387517</v>
      </c>
      <c r="M21" s="278" t="n">
        <f aca="false">M128</f>
        <v>119.768490137517</v>
      </c>
      <c r="N21" s="278" t="n">
        <f aca="false">N128</f>
        <v>133.547051062517</v>
      </c>
      <c r="O21" s="278" t="n">
        <f aca="false">O128</f>
        <v>147.666218355592</v>
      </c>
      <c r="P21" s="278" t="n">
        <f aca="false">P128</f>
        <v>162.134833243892</v>
      </c>
      <c r="Q21" s="278" t="n">
        <f aca="false">Q128</f>
        <v>176.961975432555</v>
      </c>
      <c r="R21" s="449"/>
    </row>
    <row r="22" customFormat="false" ht="12.75" hidden="false" customHeight="false" outlineLevel="0" collapsed="false">
      <c r="D22" s="808"/>
      <c r="E22" s="808"/>
      <c r="F22" s="809"/>
      <c r="G22" s="809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449"/>
    </row>
    <row r="23" customFormat="false" ht="12.75" hidden="false" customHeight="false" outlineLevel="0" collapsed="false">
      <c r="A23" s="25" t="s">
        <v>233</v>
      </c>
      <c r="B23" s="17"/>
      <c r="C23" s="17"/>
      <c r="D23" s="631" t="n">
        <f aca="false">D15+D19+D20-D21</f>
        <v>-931</v>
      </c>
      <c r="E23" s="631" t="n">
        <f aca="false">E15+E19+E20-E21</f>
        <v>-928</v>
      </c>
      <c r="F23" s="631" t="n">
        <f aca="false">F15+F19+F20-F21</f>
        <v>-967</v>
      </c>
      <c r="G23" s="631" t="n">
        <f aca="false">G15+G19+G20-G21</f>
        <v>-152</v>
      </c>
      <c r="H23" s="426" t="n">
        <f aca="false">H15+H19+H20-H21</f>
        <v>465.668523612482</v>
      </c>
      <c r="I23" s="426" t="n">
        <f aca="false">I15+I19+I20-I21</f>
        <v>628.435923612483</v>
      </c>
      <c r="J23" s="426" t="n">
        <f aca="false">J15+J19+J20-J21</f>
        <v>743.276813612482</v>
      </c>
      <c r="K23" s="426" t="n">
        <f aca="false">K15+K19+K20-K21</f>
        <v>878.030767232484</v>
      </c>
      <c r="L23" s="426" t="n">
        <f aca="false">L15+L19+L20-L21</f>
        <v>915.081946275088</v>
      </c>
      <c r="M23" s="426" t="n">
        <f aca="false">M15+M19+M20-M21</f>
        <v>954.4965944264</v>
      </c>
      <c r="N23" s="426" t="n">
        <f aca="false">N15+N19+N20-N21</f>
        <v>863.359519006967</v>
      </c>
      <c r="O23" s="426" t="n">
        <f aca="false">O15+O19+O20-O21</f>
        <v>774.857809998854</v>
      </c>
      <c r="P23" s="426" t="n">
        <f aca="false">P15+P19+P20-P21</f>
        <v>568.73019583861</v>
      </c>
      <c r="Q23" s="426" t="n">
        <f aca="false">Q15+Q19+Q20-Q21</f>
        <v>388.889239211775</v>
      </c>
      <c r="R23" s="449"/>
    </row>
    <row r="24" customFormat="false" ht="12.75" hidden="false" customHeight="false" outlineLevel="0" collapsed="false">
      <c r="D24" s="712"/>
      <c r="E24" s="712"/>
      <c r="F24" s="513"/>
      <c r="G24" s="513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449"/>
    </row>
    <row r="25" customFormat="false" ht="12.75" hidden="false" customHeight="false" outlineLevel="0" collapsed="false">
      <c r="A25" s="115" t="s">
        <v>329</v>
      </c>
      <c r="D25" s="712"/>
      <c r="E25" s="712"/>
      <c r="F25" s="513"/>
      <c r="G25" s="513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449"/>
    </row>
    <row r="26" customFormat="false" ht="12.75" hidden="false" customHeight="false" outlineLevel="0" collapsed="false">
      <c r="A26" s="811" t="s">
        <v>278</v>
      </c>
      <c r="D26" s="804" t="n">
        <v>100</v>
      </c>
      <c r="E26" s="804" t="n">
        <v>64</v>
      </c>
      <c r="F26" s="805" t="n">
        <v>60</v>
      </c>
      <c r="G26" s="806" t="n">
        <v>0</v>
      </c>
      <c r="H26" s="428" t="n">
        <f aca="false">G26</f>
        <v>0</v>
      </c>
      <c r="I26" s="428" t="n">
        <f aca="false">H26</f>
        <v>0</v>
      </c>
      <c r="J26" s="428" t="n">
        <f aca="false">I26</f>
        <v>0</v>
      </c>
      <c r="K26" s="428" t="n">
        <f aca="false">J26</f>
        <v>0</v>
      </c>
      <c r="L26" s="428" t="n">
        <f aca="false">K26</f>
        <v>0</v>
      </c>
      <c r="M26" s="428" t="n">
        <f aca="false">L26</f>
        <v>0</v>
      </c>
      <c r="N26" s="428" t="n">
        <f aca="false">M26</f>
        <v>0</v>
      </c>
      <c r="O26" s="428" t="n">
        <f aca="false">N26</f>
        <v>0</v>
      </c>
      <c r="P26" s="428" t="n">
        <f aca="false">O26</f>
        <v>0</v>
      </c>
      <c r="Q26" s="428" t="n">
        <f aca="false">P26</f>
        <v>0</v>
      </c>
      <c r="R26" s="449"/>
    </row>
    <row r="27" customFormat="false" ht="12.75" hidden="false" customHeight="false" outlineLevel="0" collapsed="false">
      <c r="A27" s="811" t="s">
        <v>279</v>
      </c>
      <c r="D27" s="812" t="n">
        <v>0</v>
      </c>
      <c r="E27" s="812" t="n">
        <v>0</v>
      </c>
      <c r="F27" s="813" t="n">
        <v>0</v>
      </c>
      <c r="G27" s="814" t="n">
        <v>0</v>
      </c>
      <c r="H27" s="815" t="n">
        <f aca="false">G27</f>
        <v>0</v>
      </c>
      <c r="I27" s="815" t="n">
        <f aca="false">H27</f>
        <v>0</v>
      </c>
      <c r="J27" s="815" t="n">
        <f aca="false">I27</f>
        <v>0</v>
      </c>
      <c r="K27" s="815" t="n">
        <f aca="false">J27</f>
        <v>0</v>
      </c>
      <c r="L27" s="815" t="n">
        <f aca="false">K27</f>
        <v>0</v>
      </c>
      <c r="M27" s="815" t="n">
        <f aca="false">L27</f>
        <v>0</v>
      </c>
      <c r="N27" s="815" t="n">
        <f aca="false">M27</f>
        <v>0</v>
      </c>
      <c r="O27" s="815" t="n">
        <f aca="false">N27</f>
        <v>0</v>
      </c>
      <c r="P27" s="815" t="n">
        <f aca="false">O27</f>
        <v>0</v>
      </c>
      <c r="Q27" s="815" t="n">
        <f aca="false">P27</f>
        <v>0</v>
      </c>
      <c r="R27" s="449"/>
    </row>
    <row r="28" customFormat="false" ht="12.75" hidden="false" customHeight="false" outlineLevel="0" collapsed="false">
      <c r="A28" s="548" t="s">
        <v>333</v>
      </c>
      <c r="B28" s="816" t="n">
        <f aca="false">Assumptions!D21</f>
        <v>0.385</v>
      </c>
      <c r="D28" s="770" t="n">
        <f aca="false">SUM(D26:D27)</f>
        <v>100</v>
      </c>
      <c r="E28" s="770" t="n">
        <f aca="false">SUM(E26:E27)</f>
        <v>64</v>
      </c>
      <c r="F28" s="770" t="n">
        <f aca="false">SUM(F26:F27)</f>
        <v>60</v>
      </c>
      <c r="G28" s="770" t="n">
        <f aca="false">SUM(G26:G27)</f>
        <v>0</v>
      </c>
      <c r="H28" s="426" t="n">
        <f aca="false">H23*$B$28</f>
        <v>179.282381590806</v>
      </c>
      <c r="I28" s="426" t="n">
        <f aca="false">I23*$B$28</f>
        <v>241.947830590806</v>
      </c>
      <c r="J28" s="426" t="n">
        <f aca="false">J23*$B$28</f>
        <v>286.161573240806</v>
      </c>
      <c r="K28" s="426" t="n">
        <f aca="false">K23*$B$28</f>
        <v>338.041845384506</v>
      </c>
      <c r="L28" s="426" t="n">
        <f aca="false">L23*$B$28</f>
        <v>352.306549315909</v>
      </c>
      <c r="M28" s="426" t="n">
        <f aca="false">M23*$B$28</f>
        <v>367.481188854164</v>
      </c>
      <c r="N28" s="426" t="n">
        <f aca="false">N23*$B$28</f>
        <v>332.393414817682</v>
      </c>
      <c r="O28" s="426" t="n">
        <f aca="false">O23*$B$28</f>
        <v>298.320256849559</v>
      </c>
      <c r="P28" s="426" t="n">
        <f aca="false">P23*$B$28</f>
        <v>218.961125397865</v>
      </c>
      <c r="Q28" s="426" t="n">
        <f aca="false">Q23*$B$28</f>
        <v>149.722357096533</v>
      </c>
      <c r="R28" s="449"/>
    </row>
    <row r="29" customFormat="false" ht="12.75" hidden="false" customHeight="false" outlineLevel="0" collapsed="false">
      <c r="A29" s="95"/>
      <c r="B29" s="160"/>
      <c r="D29" s="808"/>
      <c r="E29" s="808"/>
      <c r="F29" s="809"/>
      <c r="G29" s="809"/>
      <c r="H29" s="810"/>
      <c r="I29" s="810"/>
      <c r="J29" s="810"/>
      <c r="K29" s="810"/>
      <c r="L29" s="810"/>
      <c r="M29" s="810"/>
      <c r="N29" s="810"/>
      <c r="O29" s="810"/>
      <c r="P29" s="810"/>
      <c r="Q29" s="810"/>
      <c r="R29" s="449"/>
    </row>
    <row r="30" customFormat="false" ht="12.75" hidden="false" customHeight="false" outlineLevel="0" collapsed="false">
      <c r="A30" s="541" t="s">
        <v>237</v>
      </c>
      <c r="B30" s="140"/>
      <c r="C30" s="17"/>
      <c r="D30" s="631" t="n">
        <f aca="false">D23-D28</f>
        <v>-1031</v>
      </c>
      <c r="E30" s="631" t="n">
        <f aca="false">E23-E28</f>
        <v>-992</v>
      </c>
      <c r="F30" s="631" t="n">
        <f aca="false">F23-F28</f>
        <v>-1027</v>
      </c>
      <c r="G30" s="631" t="n">
        <f aca="false">G23-G28</f>
        <v>-152</v>
      </c>
      <c r="H30" s="426" t="n">
        <f aca="false">H23-H28</f>
        <v>286.386142021677</v>
      </c>
      <c r="I30" s="426" t="n">
        <f aca="false">I23-I28</f>
        <v>386.488093021677</v>
      </c>
      <c r="J30" s="426" t="n">
        <f aca="false">J23-J28</f>
        <v>457.115240371677</v>
      </c>
      <c r="K30" s="426" t="n">
        <f aca="false">K23-K28</f>
        <v>539.988921847978</v>
      </c>
      <c r="L30" s="426" t="n">
        <f aca="false">L23-L28</f>
        <v>562.775396959179</v>
      </c>
      <c r="M30" s="426" t="n">
        <f aca="false">M23-M28</f>
        <v>587.015405572236</v>
      </c>
      <c r="N30" s="426" t="n">
        <f aca="false">N23-N28</f>
        <v>530.966104189284</v>
      </c>
      <c r="O30" s="426" t="n">
        <f aca="false">O23-O28</f>
        <v>476.537553149295</v>
      </c>
      <c r="P30" s="426" t="n">
        <f aca="false">P23-P28</f>
        <v>349.769070440745</v>
      </c>
      <c r="Q30" s="426" t="n">
        <f aca="false">Q23-Q28</f>
        <v>239.166882115242</v>
      </c>
      <c r="R30" s="720" t="s">
        <v>230</v>
      </c>
    </row>
    <row r="31" customFormat="false" ht="12.75" hidden="false" customHeight="false" outlineLevel="0" collapsed="false">
      <c r="A31" s="95"/>
      <c r="B31" s="160"/>
      <c r="D31" s="712"/>
      <c r="E31" s="712"/>
      <c r="F31" s="513"/>
      <c r="G31" s="513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720" t="s">
        <v>516</v>
      </c>
    </row>
    <row r="32" customFormat="false" ht="12.75" hidden="false" customHeight="false" outlineLevel="0" collapsed="false">
      <c r="A32" s="541" t="s">
        <v>280</v>
      </c>
      <c r="B32" s="160"/>
      <c r="D32" s="806" t="n">
        <f aca="false">D30+D27+D21</f>
        <v>-547</v>
      </c>
      <c r="E32" s="806" t="n">
        <f aca="false">E30+E27+E21</f>
        <v>-397</v>
      </c>
      <c r="F32" s="806" t="n">
        <f aca="false">F30+F27+F21</f>
        <v>-390</v>
      </c>
      <c r="G32" s="806" t="n">
        <f aca="false">G30+G27+G21</f>
        <v>386</v>
      </c>
      <c r="H32" s="428" t="n">
        <f aca="false">H30+H27+H21</f>
        <v>343.777618409194</v>
      </c>
      <c r="I32" s="428" t="n">
        <f aca="false">I30+I27+I21</f>
        <v>454.379569409194</v>
      </c>
      <c r="J32" s="428" t="n">
        <f aca="false">J30+J27+J21</f>
        <v>537.506716759194</v>
      </c>
      <c r="K32" s="428" t="n">
        <f aca="false">K30+K27+K21</f>
        <v>633.187898235495</v>
      </c>
      <c r="L32" s="428" t="n">
        <f aca="false">L30+L27+L21</f>
        <v>669.097323346696</v>
      </c>
      <c r="M32" s="428" t="n">
        <f aca="false">M30+M27+M21</f>
        <v>706.783895709753</v>
      </c>
      <c r="N32" s="428" t="n">
        <f aca="false">N30+N27+N21</f>
        <v>664.513155251802</v>
      </c>
      <c r="O32" s="428" t="n">
        <f aca="false">O30+O27+O21</f>
        <v>624.203771504888</v>
      </c>
      <c r="P32" s="428" t="n">
        <f aca="false">P30+P27+P21</f>
        <v>511.903903684637</v>
      </c>
      <c r="Q32" s="428" t="n">
        <f aca="false">Q30+Q27+Q21</f>
        <v>416.128857547797</v>
      </c>
      <c r="R32" s="720" t="s">
        <v>303</v>
      </c>
    </row>
    <row r="33" customFormat="false" ht="12.75" hidden="false" customHeight="false" outlineLevel="0" collapsed="false">
      <c r="A33" s="541" t="s">
        <v>243</v>
      </c>
      <c r="B33" s="817"/>
      <c r="D33" s="513" t="n">
        <f aca="false">D107</f>
        <v>0</v>
      </c>
      <c r="E33" s="513" t="n">
        <f aca="false">E107</f>
        <v>0</v>
      </c>
      <c r="F33" s="513" t="n">
        <f aca="false">F107</f>
        <v>0</v>
      </c>
      <c r="G33" s="806" t="n">
        <f aca="false">G107</f>
        <v>355</v>
      </c>
      <c r="H33" s="428" t="n">
        <f aca="false">H107</f>
        <v>420</v>
      </c>
      <c r="I33" s="428" t="n">
        <f aca="false">I107</f>
        <v>500</v>
      </c>
      <c r="J33" s="428" t="n">
        <f aca="false">J107</f>
        <v>512.3</v>
      </c>
      <c r="K33" s="428" t="n">
        <f aca="false">K107</f>
        <v>524.918</v>
      </c>
      <c r="L33" s="428" t="n">
        <f aca="false">L107</f>
        <v>537.86255</v>
      </c>
      <c r="M33" s="428" t="n">
        <f aca="false">M107</f>
        <v>551.142437</v>
      </c>
      <c r="N33" s="428" t="n">
        <f aca="false">N107</f>
        <v>564.766691723</v>
      </c>
      <c r="O33" s="428" t="n">
        <f aca="false">O107</f>
        <v>578.74459553198</v>
      </c>
      <c r="P33" s="428" t="n">
        <f aca="false">P107</f>
        <v>593.085687546526</v>
      </c>
      <c r="Q33" s="428" t="n">
        <f aca="false">Q107</f>
        <v>607.799771964931</v>
      </c>
      <c r="R33" s="818" t="n">
        <f aca="false">Assumptions!E44</f>
        <v>12</v>
      </c>
    </row>
    <row r="34" customFormat="false" ht="12.75" hidden="false" customHeight="false" outlineLevel="0" collapsed="false">
      <c r="A34" s="95"/>
      <c r="B34" s="817"/>
      <c r="D34" s="513"/>
      <c r="E34" s="513"/>
      <c r="F34" s="513"/>
      <c r="G34" s="513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819"/>
    </row>
    <row r="35" customFormat="false" ht="27.75" hidden="false" customHeight="true" outlineLevel="0" collapsed="false">
      <c r="A35" s="820" t="s">
        <v>517</v>
      </c>
      <c r="B35" s="821"/>
      <c r="C35" s="821"/>
      <c r="D35" s="633" t="n">
        <f aca="false">D32-D33</f>
        <v>-547</v>
      </c>
      <c r="E35" s="633" t="n">
        <f aca="false">E32-E33</f>
        <v>-397</v>
      </c>
      <c r="F35" s="633" t="n">
        <f aca="false">F32-F33</f>
        <v>-390</v>
      </c>
      <c r="G35" s="633" t="n">
        <f aca="false">G32-G33</f>
        <v>31</v>
      </c>
      <c r="H35" s="634" t="n">
        <f aca="false">H32-H33</f>
        <v>-76.2223815908062</v>
      </c>
      <c r="I35" s="634" t="n">
        <f aca="false">I32-I33</f>
        <v>-45.6204305908055</v>
      </c>
      <c r="J35" s="634" t="n">
        <f aca="false">J32-J33</f>
        <v>25.2067167591939</v>
      </c>
      <c r="K35" s="634" t="n">
        <f aca="false">K32-K33</f>
        <v>108.269898235495</v>
      </c>
      <c r="L35" s="634" t="n">
        <f aca="false">L32-L33</f>
        <v>131.234773346696</v>
      </c>
      <c r="M35" s="634" t="n">
        <f aca="false">M32-M33</f>
        <v>155.641458709753</v>
      </c>
      <c r="N35" s="634" t="n">
        <f aca="false">N32-N33</f>
        <v>99.7464635288015</v>
      </c>
      <c r="O35" s="634" t="n">
        <f aca="false">O32-O33</f>
        <v>45.4591759729075</v>
      </c>
      <c r="P35" s="634" t="n">
        <f aca="false">P32-P33</f>
        <v>-81.1817838618891</v>
      </c>
      <c r="Q35" s="634" t="n">
        <f aca="false">Q32-Q33</f>
        <v>-191.670914417134</v>
      </c>
      <c r="R35" s="822" t="n">
        <f aca="false">Q15*R37</f>
        <v>6684.17085169249</v>
      </c>
    </row>
    <row r="36" customFormat="false" ht="13.5" hidden="false" customHeight="false" outlineLevel="0" collapsed="false">
      <c r="A36" s="643"/>
      <c r="B36" s="17"/>
      <c r="C36" s="17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823"/>
    </row>
    <row r="37" customFormat="false" ht="12.75" hidden="false" customHeight="false" outlineLevel="0" collapsed="false">
      <c r="A37" s="643"/>
      <c r="B37" s="17"/>
      <c r="C37" s="17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641" t="n">
        <f aca="false">Scenarios!C5</f>
        <v>12</v>
      </c>
    </row>
    <row r="38" customFormat="false" ht="12.75" hidden="false" customHeight="false" outlineLevel="0" collapsed="false">
      <c r="A38" s="643"/>
      <c r="B38" s="17"/>
      <c r="C38" s="17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640" t="s">
        <v>518</v>
      </c>
    </row>
    <row r="39" customFormat="false" ht="13.5" hidden="false" customHeight="false" outlineLevel="0" collapsed="false"/>
    <row r="40" customFormat="false" ht="15" hidden="false" customHeight="false" outlineLevel="0" collapsed="false">
      <c r="F40" s="0"/>
      <c r="G40" s="824" t="s">
        <v>288</v>
      </c>
      <c r="H40" s="825" t="str">
        <f aca="false">(Assumptions!D14-1&amp;" EBITDA")</f>
        <v>2001 EBITDA</v>
      </c>
      <c r="I40" s="825" t="s">
        <v>307</v>
      </c>
      <c r="J40" s="826"/>
      <c r="K40" s="827" t="s">
        <v>289</v>
      </c>
      <c r="L40" s="827"/>
      <c r="M40" s="827"/>
      <c r="P40" s="95"/>
      <c r="Q40" s="95"/>
    </row>
    <row r="41" customFormat="false" ht="15" hidden="false" customHeight="false" outlineLevel="0" collapsed="false">
      <c r="F41" s="0"/>
      <c r="G41" s="828" t="s">
        <v>290</v>
      </c>
      <c r="H41" s="650" t="s">
        <v>94</v>
      </c>
      <c r="I41" s="650" t="s">
        <v>310</v>
      </c>
      <c r="J41" s="651"/>
      <c r="K41" s="829" t="n">
        <f aca="false">Asset3Drate-0.025</f>
        <v>0.1</v>
      </c>
      <c r="L41" s="830" t="n">
        <f aca="false">Scenarios!C6</f>
        <v>0.125</v>
      </c>
      <c r="M41" s="831" t="n">
        <f aca="false">Asset3Drate+0.025</f>
        <v>0.15</v>
      </c>
      <c r="P41" s="95"/>
      <c r="Q41" s="95"/>
    </row>
    <row r="42" customFormat="false" ht="12.75" hidden="false" customHeight="false" outlineLevel="0" collapsed="false">
      <c r="F42" s="511" t="s">
        <v>292</v>
      </c>
      <c r="G42" s="585"/>
      <c r="H42" s="655"/>
      <c r="I42" s="655"/>
      <c r="J42" s="586"/>
      <c r="K42" s="586"/>
      <c r="L42" s="586"/>
      <c r="M42" s="588"/>
      <c r="P42" s="95"/>
      <c r="Q42" s="95"/>
    </row>
    <row r="43" customFormat="false" ht="13.5" hidden="false" customHeight="false" outlineLevel="0" collapsed="false">
      <c r="F43" s="0" t="n">
        <f aca="false">IF(ABS(G43-L43)&lt;0.05,0,1)</f>
        <v>1</v>
      </c>
      <c r="G43" s="832" t="n">
        <v>1940.65905550069</v>
      </c>
      <c r="H43" s="833" t="n">
        <f aca="false">G43/F15</f>
        <v>-35.2847101000125</v>
      </c>
      <c r="I43" s="834" t="str">
        <f aca="false">Assumptions!D41</f>
        <v>ETS</v>
      </c>
      <c r="J43" s="835"/>
      <c r="K43" s="836" t="n">
        <f aca="false">NPV(K41,$G$35:$R$35)</f>
        <v>2266.41954681097</v>
      </c>
      <c r="L43" s="836" t="n">
        <f aca="false">NPV(L41,$G$35:$R$35)</f>
        <v>1747.6064289443</v>
      </c>
      <c r="M43" s="594" t="n">
        <f aca="false">NPV(M41,$G$35:$R$35)</f>
        <v>1356.39807363287</v>
      </c>
      <c r="P43" s="95"/>
      <c r="Q43" s="95"/>
      <c r="R43" s="95"/>
    </row>
    <row r="44" customFormat="false" ht="12.75" hidden="false" customHeight="false" outlineLevel="0" collapsed="false">
      <c r="F44" s="0"/>
      <c r="G44" s="95"/>
      <c r="H44" s="663"/>
      <c r="I44" s="663"/>
      <c r="J44" s="95"/>
      <c r="K44" s="95"/>
      <c r="L44" s="664"/>
      <c r="M44" s="95"/>
      <c r="P44" s="95"/>
      <c r="Q44" s="95"/>
      <c r="R44" s="95"/>
    </row>
    <row r="45" customFormat="false" ht="12.75" hidden="false" customHeight="false" outlineLevel="0" collapsed="false">
      <c r="F45" s="95"/>
      <c r="G45" s="95"/>
      <c r="H45" s="95"/>
      <c r="I45" s="95"/>
      <c r="J45" s="95"/>
      <c r="K45" s="95"/>
      <c r="L45" s="95"/>
      <c r="N45" s="95"/>
      <c r="O45" s="95"/>
      <c r="P45" s="95"/>
      <c r="Q45" s="95"/>
    </row>
    <row r="46" customFormat="false" ht="12.75" hidden="false" customHeight="false" outlineLevel="0" collapsed="false">
      <c r="D46" s="95"/>
      <c r="E46" s="95"/>
      <c r="F46" s="95"/>
      <c r="G46" s="95"/>
      <c r="H46" s="95"/>
      <c r="I46" s="449"/>
      <c r="J46" s="449"/>
      <c r="K46" s="449"/>
      <c r="L46" s="449"/>
      <c r="M46" s="449"/>
      <c r="N46" s="449"/>
      <c r="O46" s="449"/>
      <c r="P46" s="449"/>
      <c r="Q46" s="449"/>
    </row>
    <row r="47" customFormat="false" ht="15.75" hidden="false" customHeight="false" outlineLevel="0" collapsed="false">
      <c r="A47" s="497" t="s">
        <v>344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449"/>
    </row>
    <row r="48" customFormat="false" ht="12.75" hidden="false" customHeight="false" outlineLevel="0" collapsed="false">
      <c r="D48" s="505"/>
      <c r="E48" s="505"/>
      <c r="F48" s="295"/>
      <c r="G48" s="306" t="s">
        <v>192</v>
      </c>
      <c r="H48" s="307"/>
      <c r="I48" s="295"/>
      <c r="J48" s="295"/>
      <c r="K48" s="176"/>
      <c r="L48" s="295"/>
      <c r="M48" s="176"/>
      <c r="N48" s="176"/>
      <c r="O48" s="176"/>
      <c r="P48" s="176"/>
      <c r="Q48" s="103"/>
      <c r="R48" s="449"/>
    </row>
    <row r="49" customFormat="false" ht="12.75" hidden="false" customHeight="false" outlineLevel="0" collapsed="false">
      <c r="D49" s="308" t="n">
        <v>1998</v>
      </c>
      <c r="E49" s="308" t="n">
        <v>1999</v>
      </c>
      <c r="F49" s="308" t="n">
        <v>2000</v>
      </c>
      <c r="G49" s="308" t="n">
        <v>2001</v>
      </c>
      <c r="H49" s="309" t="n">
        <v>2002</v>
      </c>
      <c r="I49" s="309" t="n">
        <v>2003</v>
      </c>
      <c r="J49" s="309" t="n">
        <v>2004</v>
      </c>
      <c r="K49" s="309" t="n">
        <v>2005</v>
      </c>
      <c r="L49" s="309" t="n">
        <v>2006</v>
      </c>
      <c r="M49" s="310" t="n">
        <v>2007</v>
      </c>
      <c r="N49" s="310" t="n">
        <v>2008</v>
      </c>
      <c r="O49" s="310" t="n">
        <v>2009</v>
      </c>
      <c r="P49" s="310" t="n">
        <v>2010</v>
      </c>
      <c r="Q49" s="690" t="n">
        <v>2011</v>
      </c>
      <c r="R49" s="449"/>
    </row>
    <row r="50" customFormat="false" ht="12.75" hidden="false" customHeight="false" outlineLevel="0" collapsed="false">
      <c r="B50" s="507" t="s">
        <v>268</v>
      </c>
      <c r="C50" s="270"/>
      <c r="F50" s="463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449"/>
    </row>
    <row r="51" customFormat="false" ht="12.75" hidden="false" customHeight="false" outlineLevel="0" collapsed="false">
      <c r="A51" s="371" t="s">
        <v>519</v>
      </c>
      <c r="B51" s="644" t="n">
        <v>0</v>
      </c>
      <c r="C51" s="270"/>
      <c r="D51" s="837" t="n">
        <f aca="false">$B$51*2606</f>
        <v>0</v>
      </c>
      <c r="E51" s="837" t="n">
        <f aca="false">$B$51*2667</f>
        <v>0</v>
      </c>
      <c r="F51" s="837" t="n">
        <f aca="false">$B$51*2676</f>
        <v>0</v>
      </c>
      <c r="G51" s="837" t="n">
        <f aca="false">$B$51*2*1289</f>
        <v>0</v>
      </c>
      <c r="H51" s="428" t="n">
        <f aca="false">G51*H62</f>
        <v>0</v>
      </c>
      <c r="I51" s="428" t="n">
        <f aca="false">H51*I62</f>
        <v>0</v>
      </c>
      <c r="J51" s="428" t="n">
        <f aca="false">I51*J62</f>
        <v>0</v>
      </c>
      <c r="K51" s="428" t="n">
        <f aca="false">J51*K62</f>
        <v>0</v>
      </c>
      <c r="L51" s="428" t="n">
        <f aca="false">K51*L62</f>
        <v>0</v>
      </c>
      <c r="M51" s="428" t="n">
        <f aca="false">L51*M62</f>
        <v>0</v>
      </c>
      <c r="N51" s="428" t="n">
        <f aca="false">M51*N62</f>
        <v>0</v>
      </c>
      <c r="O51" s="428" t="n">
        <f aca="false">N51*O62</f>
        <v>0</v>
      </c>
      <c r="P51" s="428" t="n">
        <f aca="false">O51*P62</f>
        <v>0</v>
      </c>
      <c r="Q51" s="428" t="n">
        <f aca="false">P51*Q62</f>
        <v>0</v>
      </c>
      <c r="R51" s="449"/>
    </row>
    <row r="52" customFormat="false" ht="12.75" hidden="false" customHeight="false" outlineLevel="0" collapsed="false">
      <c r="A52" s="705" t="s">
        <v>520</v>
      </c>
      <c r="B52" s="644" t="n">
        <v>0</v>
      </c>
      <c r="C52" s="270"/>
      <c r="D52" s="837" t="n">
        <f aca="false">$B$52*1051</f>
        <v>0</v>
      </c>
      <c r="E52" s="837" t="n">
        <f aca="false">$B$52*1156</f>
        <v>0</v>
      </c>
      <c r="F52" s="837" t="n">
        <f aca="false">$B$52*1196</f>
        <v>0</v>
      </c>
      <c r="G52" s="837" t="n">
        <f aca="false">$B$52*2*779</f>
        <v>0</v>
      </c>
      <c r="H52" s="428" t="n">
        <f aca="false">G52*H63</f>
        <v>0</v>
      </c>
      <c r="I52" s="428" t="n">
        <f aca="false">H52*I63</f>
        <v>0</v>
      </c>
      <c r="J52" s="428" t="n">
        <f aca="false">I52*J63</f>
        <v>0</v>
      </c>
      <c r="K52" s="428" t="n">
        <f aca="false">J52*K63</f>
        <v>0</v>
      </c>
      <c r="L52" s="428" t="n">
        <f aca="false">K52*L63</f>
        <v>0</v>
      </c>
      <c r="M52" s="428" t="n">
        <f aca="false">L52*M63</f>
        <v>0</v>
      </c>
      <c r="N52" s="428" t="n">
        <f aca="false">M52*N63</f>
        <v>0</v>
      </c>
      <c r="O52" s="428" t="n">
        <f aca="false">N52*O63</f>
        <v>0</v>
      </c>
      <c r="P52" s="428" t="n">
        <f aca="false">O52*P63</f>
        <v>0</v>
      </c>
      <c r="Q52" s="428" t="n">
        <f aca="false">P52*Q63</f>
        <v>0</v>
      </c>
      <c r="R52" s="449"/>
    </row>
    <row r="53" customFormat="false" ht="12.75" hidden="false" customHeight="false" outlineLevel="0" collapsed="false">
      <c r="A53" s="705" t="s">
        <v>521</v>
      </c>
      <c r="B53" s="644" t="n">
        <v>0</v>
      </c>
      <c r="C53" s="270"/>
      <c r="D53" s="837" t="n">
        <f aca="false">$B$53*160</f>
        <v>0</v>
      </c>
      <c r="E53" s="837" t="n">
        <f aca="false">$B$53*785</f>
        <v>0</v>
      </c>
      <c r="F53" s="837" t="n">
        <f aca="false">$B$53*906</f>
        <v>0</v>
      </c>
      <c r="G53" s="837" t="n">
        <f aca="false">$B$53*2*649</f>
        <v>0</v>
      </c>
      <c r="H53" s="428" t="n">
        <f aca="false">G53*H64</f>
        <v>0</v>
      </c>
      <c r="I53" s="428" t="n">
        <f aca="false">H53*I64</f>
        <v>0</v>
      </c>
      <c r="J53" s="428" t="n">
        <f aca="false">I53*J64</f>
        <v>0</v>
      </c>
      <c r="K53" s="428" t="n">
        <f aca="false">J53*K64</f>
        <v>0</v>
      </c>
      <c r="L53" s="428" t="n">
        <f aca="false">K53*L64</f>
        <v>0</v>
      </c>
      <c r="M53" s="428" t="n">
        <f aca="false">L53*M64</f>
        <v>0</v>
      </c>
      <c r="N53" s="428" t="n">
        <f aca="false">M53*N64</f>
        <v>0</v>
      </c>
      <c r="O53" s="428" t="n">
        <f aca="false">N53*O64</f>
        <v>0</v>
      </c>
      <c r="P53" s="428" t="n">
        <f aca="false">O53*P64</f>
        <v>0</v>
      </c>
      <c r="Q53" s="428" t="n">
        <f aca="false">P53*Q64</f>
        <v>0</v>
      </c>
      <c r="R53" s="449"/>
    </row>
    <row r="54" customFormat="false" ht="12.75" hidden="false" customHeight="false" outlineLevel="0" collapsed="false">
      <c r="A54" s="371" t="s">
        <v>522</v>
      </c>
      <c r="B54" s="644" t="n">
        <v>1</v>
      </c>
      <c r="C54" s="270"/>
      <c r="D54" s="837" t="n">
        <f aca="false">$B$54*277</f>
        <v>277</v>
      </c>
      <c r="E54" s="837" t="n">
        <f aca="false">$B$54*390</f>
        <v>390</v>
      </c>
      <c r="F54" s="837" t="n">
        <f aca="false">$B$54*500</f>
        <v>500</v>
      </c>
      <c r="G54" s="837" t="n">
        <f aca="false">$B$54*2*216</f>
        <v>432</v>
      </c>
      <c r="H54" s="428" t="n">
        <f aca="false">G54*H65</f>
        <v>440.64</v>
      </c>
      <c r="I54" s="428" t="n">
        <f aca="false">H54*I65</f>
        <v>449.4528</v>
      </c>
      <c r="J54" s="428" t="n">
        <f aca="false">I54*J65</f>
        <v>458.441856</v>
      </c>
      <c r="K54" s="428" t="n">
        <f aca="false">J54*K65</f>
        <v>467.61069312</v>
      </c>
      <c r="L54" s="428" t="n">
        <f aca="false">K54*L65</f>
        <v>476.9629069824</v>
      </c>
      <c r="M54" s="428" t="n">
        <f aca="false">L54*M65</f>
        <v>486.502165122048</v>
      </c>
      <c r="N54" s="428" t="n">
        <f aca="false">M54*N65</f>
        <v>496.232208424489</v>
      </c>
      <c r="O54" s="428" t="n">
        <f aca="false">N54*O65</f>
        <v>506.156852592979</v>
      </c>
      <c r="P54" s="428" t="n">
        <f aca="false">O54*P65</f>
        <v>516.279989644838</v>
      </c>
      <c r="Q54" s="428" t="n">
        <f aca="false">P54*Q65</f>
        <v>526.605589437735</v>
      </c>
      <c r="R54" s="449"/>
    </row>
    <row r="55" customFormat="false" ht="12.75" hidden="false" customHeight="false" outlineLevel="0" collapsed="false">
      <c r="A55" s="371" t="s">
        <v>523</v>
      </c>
      <c r="B55" s="644" t="n">
        <v>1</v>
      </c>
      <c r="C55" s="270"/>
      <c r="D55" s="837" t="n">
        <f aca="false">$B$55*63</f>
        <v>63</v>
      </c>
      <c r="E55" s="837" t="n">
        <f aca="false">$B$55*98</f>
        <v>98</v>
      </c>
      <c r="F55" s="837" t="n">
        <f aca="false">$B$55*131</f>
        <v>131</v>
      </c>
      <c r="G55" s="837" t="n">
        <f aca="false">$B$55*2*96</f>
        <v>192</v>
      </c>
      <c r="H55" s="428" t="n">
        <f aca="false">G55*H66</f>
        <v>197.76</v>
      </c>
      <c r="I55" s="428" t="n">
        <f aca="false">H55*I66</f>
        <v>203.6928</v>
      </c>
      <c r="J55" s="428" t="n">
        <f aca="false">I55*J66</f>
        <v>209.803584</v>
      </c>
      <c r="K55" s="428" t="n">
        <f aca="false">J55*K66</f>
        <v>216.09769152</v>
      </c>
      <c r="L55" s="428" t="n">
        <f aca="false">K55*L66</f>
        <v>222.5806222656</v>
      </c>
      <c r="M55" s="428" t="n">
        <f aca="false">L55*M66</f>
        <v>229.258040933568</v>
      </c>
      <c r="N55" s="428" t="n">
        <f aca="false">M55*N66</f>
        <v>236.135782161575</v>
      </c>
      <c r="O55" s="428" t="n">
        <f aca="false">N55*O66</f>
        <v>243.219855626422</v>
      </c>
      <c r="P55" s="428" t="n">
        <f aca="false">O55*P66</f>
        <v>250.516451295215</v>
      </c>
      <c r="Q55" s="428" t="n">
        <f aca="false">P55*Q66</f>
        <v>258.031944834071</v>
      </c>
      <c r="R55" s="449"/>
    </row>
    <row r="56" customFormat="false" ht="12.75" hidden="false" customHeight="false" outlineLevel="0" collapsed="false">
      <c r="A56" s="705" t="s">
        <v>524</v>
      </c>
      <c r="B56" s="644" t="n">
        <v>1</v>
      </c>
      <c r="C56" s="270"/>
      <c r="D56" s="837" t="n">
        <f aca="false">$B$56*939</f>
        <v>939</v>
      </c>
      <c r="E56" s="837" t="n">
        <f aca="false">$B$56*799</f>
        <v>799</v>
      </c>
      <c r="F56" s="837" t="n">
        <f aca="false">$B$56*3294</f>
        <v>3294</v>
      </c>
      <c r="G56" s="837" t="n">
        <f aca="false">$B$56*2*5433</f>
        <v>10866</v>
      </c>
      <c r="H56" s="428" t="n">
        <f aca="false">G56*H67</f>
        <v>13582.5</v>
      </c>
      <c r="I56" s="428" t="n">
        <f aca="false">H56*I67</f>
        <v>16978.125</v>
      </c>
      <c r="J56" s="428" t="n">
        <f aca="false">I56*J67</f>
        <v>19524.84375</v>
      </c>
      <c r="K56" s="428" t="n">
        <f aca="false">J56*K67</f>
        <v>22453.5703125</v>
      </c>
      <c r="L56" s="428" t="n">
        <f aca="false">K56*L67</f>
        <v>23576.248828125</v>
      </c>
      <c r="M56" s="428" t="n">
        <f aca="false">L56*M67</f>
        <v>24755.0612695313</v>
      </c>
      <c r="N56" s="428" t="n">
        <f aca="false">M56*N67</f>
        <v>23517.3082060547</v>
      </c>
      <c r="O56" s="428" t="n">
        <f aca="false">N56*O67</f>
        <v>22341.442795752</v>
      </c>
      <c r="P56" s="428" t="n">
        <f aca="false">O56*P67</f>
        <v>18990.2263763892</v>
      </c>
      <c r="Q56" s="428" t="n">
        <f aca="false">P56*Q67</f>
        <v>16141.6924199308</v>
      </c>
      <c r="R56" s="449"/>
    </row>
    <row r="57" customFormat="false" ht="12.75" hidden="false" customHeight="false" outlineLevel="0" collapsed="false">
      <c r="A57" s="705" t="s">
        <v>525</v>
      </c>
      <c r="B57" s="644" t="n">
        <v>1</v>
      </c>
      <c r="C57" s="270"/>
      <c r="D57" s="837" t="n">
        <f aca="false">$B$57*30</f>
        <v>30</v>
      </c>
      <c r="E57" s="837" t="n">
        <f aca="false">$B$57*177</f>
        <v>177</v>
      </c>
      <c r="F57" s="837" t="n">
        <f aca="false">$B$57*265</f>
        <v>265</v>
      </c>
      <c r="G57" s="837" t="n">
        <f aca="false">$B$57*2*72</f>
        <v>144</v>
      </c>
      <c r="H57" s="428" t="n">
        <f aca="false">G57*H68</f>
        <v>145.44</v>
      </c>
      <c r="I57" s="428" t="n">
        <f aca="false">H57*I68</f>
        <v>146.8944</v>
      </c>
      <c r="J57" s="428" t="n">
        <f aca="false">I57*J68</f>
        <v>148.363344</v>
      </c>
      <c r="K57" s="428" t="n">
        <f aca="false">J57*K68</f>
        <v>149.84697744</v>
      </c>
      <c r="L57" s="428" t="n">
        <f aca="false">K57*L68</f>
        <v>151.3454472144</v>
      </c>
      <c r="M57" s="428" t="n">
        <f aca="false">L57*M68</f>
        <v>152.858901686544</v>
      </c>
      <c r="N57" s="428" t="n">
        <f aca="false">M57*N68</f>
        <v>154.387490703409</v>
      </c>
      <c r="O57" s="428" t="n">
        <f aca="false">N57*O68</f>
        <v>155.931365610444</v>
      </c>
      <c r="P57" s="428" t="n">
        <f aca="false">O57*P68</f>
        <v>157.490679266548</v>
      </c>
      <c r="Q57" s="428" t="n">
        <f aca="false">P57*Q68</f>
        <v>159.065586059213</v>
      </c>
      <c r="R57" s="449"/>
    </row>
    <row r="58" customFormat="false" ht="12.75" hidden="false" customHeight="false" outlineLevel="0" collapsed="false">
      <c r="A58" s="838" t="s">
        <v>347</v>
      </c>
      <c r="B58" s="839" t="n">
        <v>1</v>
      </c>
      <c r="C58" s="840"/>
      <c r="D58" s="841" t="n">
        <f aca="false">$B$58*15</f>
        <v>15</v>
      </c>
      <c r="E58" s="841" t="n">
        <f aca="false">$B$58*31</f>
        <v>31</v>
      </c>
      <c r="F58" s="841" t="n">
        <f aca="false">$B$58*30</f>
        <v>30</v>
      </c>
      <c r="G58" s="841" t="n">
        <f aca="false">$B$58*2*13</f>
        <v>26</v>
      </c>
      <c r="H58" s="815" t="n">
        <f aca="false">G58*H69</f>
        <v>26.26</v>
      </c>
      <c r="I58" s="815" t="n">
        <f aca="false">H58*I69</f>
        <v>26.5226</v>
      </c>
      <c r="J58" s="815" t="n">
        <f aca="false">I58*J69</f>
        <v>26.787826</v>
      </c>
      <c r="K58" s="815" t="n">
        <f aca="false">J58*K69</f>
        <v>27.05570426</v>
      </c>
      <c r="L58" s="815" t="n">
        <f aca="false">K58*L69</f>
        <v>27.3262613026</v>
      </c>
      <c r="M58" s="815" t="n">
        <f aca="false">L58*M69</f>
        <v>27.599523915626</v>
      </c>
      <c r="N58" s="815" t="n">
        <f aca="false">M58*N69</f>
        <v>27.8755191547823</v>
      </c>
      <c r="O58" s="815" t="n">
        <f aca="false">N58*O69</f>
        <v>28.1542743463301</v>
      </c>
      <c r="P58" s="815" t="n">
        <f aca="false">O58*P69</f>
        <v>28.4358170897934</v>
      </c>
      <c r="Q58" s="815" t="n">
        <f aca="false">P58*Q69</f>
        <v>28.7201752606913</v>
      </c>
      <c r="R58" s="449"/>
    </row>
    <row r="59" customFormat="false" ht="12.75" hidden="false" customHeight="false" outlineLevel="0" collapsed="false">
      <c r="A59" s="842" t="s">
        <v>526</v>
      </c>
      <c r="B59" s="78"/>
      <c r="C59" s="270"/>
      <c r="D59" s="631" t="n">
        <f aca="false">SUM(D51:D58)</f>
        <v>1324</v>
      </c>
      <c r="E59" s="631" t="n">
        <f aca="false">SUM(E51:E58)</f>
        <v>1495</v>
      </c>
      <c r="F59" s="631" t="n">
        <f aca="false">SUM(F51:F58)</f>
        <v>4220</v>
      </c>
      <c r="G59" s="631" t="n">
        <f aca="false">SUM(G51:G58)</f>
        <v>11660</v>
      </c>
      <c r="H59" s="426" t="n">
        <f aca="false">SUM(H51:H58)</f>
        <v>14392.6</v>
      </c>
      <c r="I59" s="426" t="n">
        <f aca="false">SUM(I51:I58)</f>
        <v>17804.6876</v>
      </c>
      <c r="J59" s="426" t="n">
        <f aca="false">SUM(J51:J58)</f>
        <v>20368.24036</v>
      </c>
      <c r="K59" s="426" t="n">
        <f aca="false">SUM(K51:K58)</f>
        <v>23314.18137884</v>
      </c>
      <c r="L59" s="426" t="n">
        <f aca="false">SUM(L51:L58)</f>
        <v>24454.46406589</v>
      </c>
      <c r="M59" s="426" t="n">
        <f aca="false">SUM(M51:M58)</f>
        <v>25651.279901189</v>
      </c>
      <c r="N59" s="426" t="n">
        <f aca="false">SUM(N51:N58)</f>
        <v>24431.9392064989</v>
      </c>
      <c r="O59" s="426" t="n">
        <f aca="false">SUM(O51:O58)</f>
        <v>23274.9051439281</v>
      </c>
      <c r="P59" s="426" t="n">
        <f aca="false">SUM(P51:P58)</f>
        <v>19942.9493136856</v>
      </c>
      <c r="Q59" s="426" t="n">
        <f aca="false">SUM(Q51:Q58)</f>
        <v>17114.1157155225</v>
      </c>
      <c r="R59" s="449"/>
    </row>
    <row r="60" customFormat="false" ht="12.75" hidden="false" customHeight="false" outlineLevel="0" collapsed="false">
      <c r="C60" s="270"/>
      <c r="D60" s="639"/>
      <c r="F60" s="463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449"/>
    </row>
    <row r="61" customFormat="false" ht="15.75" hidden="false" customHeight="false" outlineLevel="0" collapsed="false">
      <c r="A61" s="696" t="s">
        <v>351</v>
      </c>
      <c r="B61" s="131"/>
      <c r="C61" s="697"/>
      <c r="D61" s="698"/>
      <c r="E61" s="131"/>
      <c r="F61" s="699"/>
      <c r="G61" s="700"/>
      <c r="H61" s="700"/>
      <c r="I61" s="700"/>
      <c r="J61" s="700"/>
      <c r="K61" s="700"/>
      <c r="L61" s="700"/>
      <c r="M61" s="700"/>
      <c r="N61" s="700"/>
      <c r="O61" s="700"/>
      <c r="P61" s="700"/>
      <c r="Q61" s="700"/>
      <c r="R61" s="503"/>
    </row>
    <row r="62" customFormat="false" ht="12.75" hidden="false" customHeight="false" outlineLevel="0" collapsed="false">
      <c r="A62" s="371" t="s">
        <v>519</v>
      </c>
      <c r="C62" s="270"/>
      <c r="D62" s="639"/>
      <c r="F62" s="463"/>
      <c r="G62" s="701"/>
      <c r="H62" s="207" t="n">
        <v>1.01</v>
      </c>
      <c r="I62" s="207" t="n">
        <v>1.01</v>
      </c>
      <c r="J62" s="207" t="n">
        <v>1.01</v>
      </c>
      <c r="K62" s="207" t="n">
        <v>1.01</v>
      </c>
      <c r="L62" s="207" t="n">
        <v>1.01</v>
      </c>
      <c r="M62" s="207" t="n">
        <v>1.01</v>
      </c>
      <c r="N62" s="207" t="n">
        <v>1.01</v>
      </c>
      <c r="O62" s="207" t="n">
        <v>1.01</v>
      </c>
      <c r="P62" s="207" t="n">
        <v>1.01</v>
      </c>
      <c r="Q62" s="207" t="n">
        <v>1.01</v>
      </c>
      <c r="R62" s="449"/>
    </row>
    <row r="63" customFormat="false" ht="12.75" hidden="false" customHeight="false" outlineLevel="0" collapsed="false">
      <c r="A63" s="705" t="s">
        <v>520</v>
      </c>
      <c r="C63" s="270"/>
      <c r="D63" s="639"/>
      <c r="F63" s="463"/>
      <c r="G63" s="701"/>
      <c r="H63" s="207" t="n">
        <v>1.02</v>
      </c>
      <c r="I63" s="207" t="n">
        <v>1.02</v>
      </c>
      <c r="J63" s="207" t="n">
        <v>1.02</v>
      </c>
      <c r="K63" s="207" t="n">
        <v>1.02</v>
      </c>
      <c r="L63" s="207" t="n">
        <v>1.02</v>
      </c>
      <c r="M63" s="207" t="n">
        <v>1.02</v>
      </c>
      <c r="N63" s="207" t="n">
        <v>1.02</v>
      </c>
      <c r="O63" s="207" t="n">
        <v>1.02</v>
      </c>
      <c r="P63" s="207" t="n">
        <v>1.02</v>
      </c>
      <c r="Q63" s="207" t="n">
        <v>1.02</v>
      </c>
      <c r="R63" s="449"/>
    </row>
    <row r="64" customFormat="false" ht="12.75" hidden="false" customHeight="false" outlineLevel="0" collapsed="false">
      <c r="A64" s="705" t="s">
        <v>521</v>
      </c>
      <c r="C64" s="270"/>
      <c r="D64" s="639"/>
      <c r="F64" s="463"/>
      <c r="G64" s="701"/>
      <c r="H64" s="207" t="n">
        <v>1.03</v>
      </c>
      <c r="I64" s="207" t="n">
        <v>1.03</v>
      </c>
      <c r="J64" s="207" t="n">
        <v>1.03</v>
      </c>
      <c r="K64" s="207" t="n">
        <v>1.03</v>
      </c>
      <c r="L64" s="207" t="n">
        <v>1.03</v>
      </c>
      <c r="M64" s="207" t="n">
        <v>1.03</v>
      </c>
      <c r="N64" s="207" t="n">
        <v>1.03</v>
      </c>
      <c r="O64" s="207" t="n">
        <v>1.03</v>
      </c>
      <c r="P64" s="207" t="n">
        <v>1.03</v>
      </c>
      <c r="Q64" s="207" t="n">
        <v>1.03</v>
      </c>
      <c r="R64" s="449"/>
    </row>
    <row r="65" customFormat="false" ht="12.75" hidden="false" customHeight="false" outlineLevel="0" collapsed="false">
      <c r="A65" s="371" t="s">
        <v>522</v>
      </c>
      <c r="C65" s="270"/>
      <c r="D65" s="639"/>
      <c r="F65" s="463"/>
      <c r="G65" s="701"/>
      <c r="H65" s="207" t="n">
        <v>1.02</v>
      </c>
      <c r="I65" s="207" t="n">
        <v>1.02</v>
      </c>
      <c r="J65" s="207" t="n">
        <v>1.02</v>
      </c>
      <c r="K65" s="207" t="n">
        <v>1.02</v>
      </c>
      <c r="L65" s="207" t="n">
        <v>1.02</v>
      </c>
      <c r="M65" s="207" t="n">
        <v>1.02</v>
      </c>
      <c r="N65" s="207" t="n">
        <v>1.02</v>
      </c>
      <c r="O65" s="207" t="n">
        <v>1.02</v>
      </c>
      <c r="P65" s="207" t="n">
        <v>1.02</v>
      </c>
      <c r="Q65" s="207" t="n">
        <v>1.02</v>
      </c>
      <c r="R65" s="449"/>
    </row>
    <row r="66" customFormat="false" ht="12.75" hidden="false" customHeight="false" outlineLevel="0" collapsed="false">
      <c r="A66" s="371" t="s">
        <v>527</v>
      </c>
      <c r="C66" s="270"/>
      <c r="D66" s="639"/>
      <c r="F66" s="463"/>
      <c r="G66" s="701"/>
      <c r="H66" s="207" t="n">
        <v>1.03</v>
      </c>
      <c r="I66" s="207" t="n">
        <v>1.03</v>
      </c>
      <c r="J66" s="207" t="n">
        <v>1.03</v>
      </c>
      <c r="K66" s="207" t="n">
        <v>1.03</v>
      </c>
      <c r="L66" s="207" t="n">
        <v>1.03</v>
      </c>
      <c r="M66" s="207" t="n">
        <v>1.03</v>
      </c>
      <c r="N66" s="207" t="n">
        <v>1.03</v>
      </c>
      <c r="O66" s="207" t="n">
        <v>1.03</v>
      </c>
      <c r="P66" s="207" t="n">
        <v>1.03</v>
      </c>
      <c r="Q66" s="207" t="n">
        <v>1.03</v>
      </c>
      <c r="R66" s="449"/>
    </row>
    <row r="67" customFormat="false" ht="12.75" hidden="false" customHeight="false" outlineLevel="0" collapsed="false">
      <c r="A67" s="705" t="s">
        <v>524</v>
      </c>
      <c r="C67" s="270"/>
      <c r="D67" s="639"/>
      <c r="F67" s="463"/>
      <c r="G67" s="701"/>
      <c r="H67" s="207" t="n">
        <v>1.25</v>
      </c>
      <c r="I67" s="207" t="n">
        <v>1.25</v>
      </c>
      <c r="J67" s="207" t="n">
        <v>1.15</v>
      </c>
      <c r="K67" s="207" t="n">
        <v>1.15</v>
      </c>
      <c r="L67" s="207" t="n">
        <v>1.05</v>
      </c>
      <c r="M67" s="207" t="n">
        <v>1.05</v>
      </c>
      <c r="N67" s="207" t="n">
        <v>0.95</v>
      </c>
      <c r="O67" s="207" t="n">
        <v>0.95</v>
      </c>
      <c r="P67" s="207" t="n">
        <v>0.85</v>
      </c>
      <c r="Q67" s="207" t="n">
        <v>0.85</v>
      </c>
      <c r="R67" s="449"/>
    </row>
    <row r="68" customFormat="false" ht="12.75" hidden="false" customHeight="false" outlineLevel="0" collapsed="false">
      <c r="A68" s="705" t="s">
        <v>525</v>
      </c>
      <c r="C68" s="270"/>
      <c r="D68" s="639"/>
      <c r="F68" s="463"/>
      <c r="G68" s="701"/>
      <c r="H68" s="207" t="n">
        <v>1.01</v>
      </c>
      <c r="I68" s="207" t="n">
        <v>1.01</v>
      </c>
      <c r="J68" s="207" t="n">
        <v>1.01</v>
      </c>
      <c r="K68" s="207" t="n">
        <v>1.01</v>
      </c>
      <c r="L68" s="207" t="n">
        <v>1.01</v>
      </c>
      <c r="M68" s="207" t="n">
        <v>1.01</v>
      </c>
      <c r="N68" s="207" t="n">
        <v>1.01</v>
      </c>
      <c r="O68" s="207" t="n">
        <v>1.01</v>
      </c>
      <c r="P68" s="207" t="n">
        <v>1.01</v>
      </c>
      <c r="Q68" s="207" t="n">
        <v>1.01</v>
      </c>
      <c r="R68" s="449"/>
    </row>
    <row r="69" customFormat="false" ht="12.75" hidden="false" customHeight="false" outlineLevel="0" collapsed="false">
      <c r="A69" s="621" t="s">
        <v>347</v>
      </c>
      <c r="C69" s="270"/>
      <c r="D69" s="639"/>
      <c r="F69" s="463"/>
      <c r="G69" s="701"/>
      <c r="H69" s="207" t="n">
        <v>1.01</v>
      </c>
      <c r="I69" s="207" t="n">
        <v>1.01</v>
      </c>
      <c r="J69" s="207" t="n">
        <v>1.01</v>
      </c>
      <c r="K69" s="207" t="n">
        <v>1.01</v>
      </c>
      <c r="L69" s="207" t="n">
        <v>1.01</v>
      </c>
      <c r="M69" s="207" t="n">
        <v>1.01</v>
      </c>
      <c r="N69" s="207" t="n">
        <v>1.01</v>
      </c>
      <c r="O69" s="207" t="n">
        <v>1.01</v>
      </c>
      <c r="P69" s="207" t="n">
        <v>1.01</v>
      </c>
      <c r="Q69" s="207" t="n">
        <v>1.01</v>
      </c>
      <c r="R69" s="449"/>
    </row>
    <row r="70" customFormat="false" ht="12.75" hidden="false" customHeight="false" outlineLevel="0" collapsed="false">
      <c r="R70" s="449"/>
    </row>
    <row r="71" customFormat="false" ht="12.75" hidden="false" customHeight="false" outlineLevel="0" collapsed="false">
      <c r="R71" s="449"/>
    </row>
    <row r="72" customFormat="false" ht="15.75" hidden="false" customHeight="false" outlineLevel="0" collapsed="false">
      <c r="A72" s="497" t="s">
        <v>352</v>
      </c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449"/>
    </row>
    <row r="73" customFormat="false" ht="14.25" hidden="false" customHeight="true" outlineLevel="0" collapsed="false">
      <c r="A73" s="501"/>
      <c r="B73" s="449"/>
      <c r="C73" s="449"/>
      <c r="D73" s="505"/>
      <c r="E73" s="505"/>
      <c r="F73" s="295"/>
      <c r="G73" s="306" t="s">
        <v>192</v>
      </c>
      <c r="H73" s="307"/>
      <c r="I73" s="295"/>
      <c r="J73" s="295"/>
      <c r="K73" s="176"/>
      <c r="L73" s="295"/>
      <c r="M73" s="176"/>
      <c r="N73" s="176"/>
      <c r="O73" s="176"/>
      <c r="P73" s="176"/>
      <c r="Q73" s="103"/>
      <c r="R73" s="449"/>
    </row>
    <row r="74" customFormat="false" ht="15.75" hidden="false" customHeight="false" outlineLevel="0" collapsed="false">
      <c r="A74" s="501"/>
      <c r="B74" s="507" t="s">
        <v>268</v>
      </c>
      <c r="C74" s="449"/>
      <c r="D74" s="308" t="n">
        <v>1998</v>
      </c>
      <c r="E74" s="308" t="n">
        <v>1999</v>
      </c>
      <c r="F74" s="308" t="n">
        <v>2000</v>
      </c>
      <c r="G74" s="308" t="n">
        <v>2001</v>
      </c>
      <c r="H74" s="309" t="n">
        <v>2002</v>
      </c>
      <c r="I74" s="309" t="n">
        <v>2003</v>
      </c>
      <c r="J74" s="309" t="n">
        <v>2004</v>
      </c>
      <c r="K74" s="309" t="n">
        <v>2005</v>
      </c>
      <c r="L74" s="309" t="n">
        <v>2006</v>
      </c>
      <c r="M74" s="310" t="n">
        <v>2007</v>
      </c>
      <c r="N74" s="310" t="n">
        <v>2008</v>
      </c>
      <c r="O74" s="310" t="n">
        <v>2009</v>
      </c>
      <c r="P74" s="310" t="n">
        <v>2010</v>
      </c>
      <c r="Q74" s="441" t="n">
        <v>2011</v>
      </c>
      <c r="R74" s="449"/>
    </row>
    <row r="75" customFormat="false" ht="12.75" hidden="false" customHeight="false" outlineLevel="0" collapsed="false">
      <c r="A75" s="371" t="s">
        <v>528</v>
      </c>
      <c r="B75" s="644" t="n">
        <f aca="false">B51</f>
        <v>0</v>
      </c>
      <c r="C75" s="17"/>
      <c r="D75" s="837" t="n">
        <f aca="false">$B$75*359</f>
        <v>0</v>
      </c>
      <c r="E75" s="837" t="n">
        <f aca="false">$B$75*406</f>
        <v>0</v>
      </c>
      <c r="F75" s="837" t="n">
        <f aca="false">$B$75*408</f>
        <v>0</v>
      </c>
      <c r="G75" s="837" t="n">
        <f aca="false">$B$75*2*171</f>
        <v>0</v>
      </c>
      <c r="H75" s="428" t="n">
        <f aca="false">G75*H86</f>
        <v>0</v>
      </c>
      <c r="I75" s="428" t="n">
        <f aca="false">H75*I86</f>
        <v>0</v>
      </c>
      <c r="J75" s="428" t="n">
        <f aca="false">I75*J86</f>
        <v>0</v>
      </c>
      <c r="K75" s="428" t="n">
        <f aca="false">J75*K86</f>
        <v>0</v>
      </c>
      <c r="L75" s="428" t="n">
        <f aca="false">K75*L86</f>
        <v>0</v>
      </c>
      <c r="M75" s="428" t="n">
        <f aca="false">L75*M86</f>
        <v>0</v>
      </c>
      <c r="N75" s="428" t="n">
        <f aca="false">M75*N86</f>
        <v>0</v>
      </c>
      <c r="O75" s="428" t="n">
        <f aca="false">N75*O86</f>
        <v>0</v>
      </c>
      <c r="P75" s="428" t="n">
        <f aca="false">O75*P86</f>
        <v>0</v>
      </c>
      <c r="Q75" s="428" t="n">
        <f aca="false">P75*Q86</f>
        <v>0</v>
      </c>
      <c r="R75" s="449"/>
    </row>
    <row r="76" customFormat="false" ht="12.75" hidden="false" customHeight="false" outlineLevel="0" collapsed="false">
      <c r="A76" s="843" t="s">
        <v>529</v>
      </c>
      <c r="B76" s="644" t="n">
        <v>1</v>
      </c>
      <c r="C76" s="17"/>
      <c r="D76" s="837" t="n">
        <f aca="false">$B$76*287</f>
        <v>287</v>
      </c>
      <c r="E76" s="837" t="n">
        <f aca="false">$B$76*108</f>
        <v>108</v>
      </c>
      <c r="F76" s="837" t="n">
        <f aca="false">$B$76*1457</f>
        <v>1457</v>
      </c>
      <c r="G76" s="837" t="n">
        <f aca="false">$B$76*2*2999</f>
        <v>5998</v>
      </c>
      <c r="H76" s="428" t="n">
        <f aca="false">G76*H87</f>
        <v>7497.5</v>
      </c>
      <c r="I76" s="428" t="n">
        <f aca="false">H76*I87</f>
        <v>9371.875</v>
      </c>
      <c r="J76" s="428" t="n">
        <f aca="false">I76*J87</f>
        <v>10777.65625</v>
      </c>
      <c r="K76" s="428" t="n">
        <f aca="false">J76*K87</f>
        <v>12394.3046875</v>
      </c>
      <c r="L76" s="428" t="n">
        <f aca="false">K76*L87</f>
        <v>13014.019921875</v>
      </c>
      <c r="M76" s="428" t="n">
        <f aca="false">L76*M87</f>
        <v>13664.7209179687</v>
      </c>
      <c r="N76" s="428" t="n">
        <f aca="false">M76*N87</f>
        <v>12981.4848720703</v>
      </c>
      <c r="O76" s="428" t="n">
        <f aca="false">N76*O87</f>
        <v>12332.4106284668</v>
      </c>
      <c r="P76" s="428" t="n">
        <f aca="false">O76*P87</f>
        <v>10482.5490341968</v>
      </c>
      <c r="Q76" s="428" t="n">
        <f aca="false">P76*Q87</f>
        <v>8910.16667906726</v>
      </c>
      <c r="R76" s="449"/>
    </row>
    <row r="77" customFormat="false" ht="12.75" hidden="false" customHeight="false" outlineLevel="0" collapsed="false">
      <c r="A77" s="371" t="s">
        <v>530</v>
      </c>
      <c r="B77" s="644" t="n">
        <v>1</v>
      </c>
      <c r="C77" s="17"/>
      <c r="D77" s="837" t="n">
        <f aca="false">$B$77*297</f>
        <v>297</v>
      </c>
      <c r="E77" s="837" t="n">
        <f aca="false">$B$77*401</f>
        <v>401</v>
      </c>
      <c r="F77" s="837" t="n">
        <f aca="false">$B$77*529</f>
        <v>529</v>
      </c>
      <c r="G77" s="837" t="n">
        <f aca="false">$B$77*2*256</f>
        <v>512</v>
      </c>
      <c r="H77" s="428" t="n">
        <f aca="false">G77*H88</f>
        <v>527.36</v>
      </c>
      <c r="I77" s="428" t="n">
        <f aca="false">H77*I88</f>
        <v>543.1808</v>
      </c>
      <c r="J77" s="428" t="n">
        <f aca="false">I77*J88</f>
        <v>559.476224</v>
      </c>
      <c r="K77" s="428" t="n">
        <f aca="false">J77*K88</f>
        <v>576.26051072</v>
      </c>
      <c r="L77" s="428" t="n">
        <f aca="false">K77*L88</f>
        <v>593.5483260416</v>
      </c>
      <c r="M77" s="428" t="n">
        <f aca="false">L77*M88</f>
        <v>611.354775822848</v>
      </c>
      <c r="N77" s="428" t="n">
        <f aca="false">M77*N88</f>
        <v>629.695419097534</v>
      </c>
      <c r="O77" s="428" t="n">
        <f aca="false">N77*O88</f>
        <v>648.58628167046</v>
      </c>
      <c r="P77" s="428" t="n">
        <f aca="false">O77*P88</f>
        <v>668.043870120573</v>
      </c>
      <c r="Q77" s="428" t="n">
        <f aca="false">P77*Q88</f>
        <v>688.085186224191</v>
      </c>
      <c r="R77" s="449"/>
    </row>
    <row r="78" customFormat="false" ht="12.75" hidden="false" customHeight="false" outlineLevel="0" collapsed="false">
      <c r="A78" s="371" t="s">
        <v>531</v>
      </c>
      <c r="B78" s="644" t="n">
        <v>1</v>
      </c>
      <c r="C78" s="17"/>
      <c r="D78" s="837" t="n">
        <f aca="false">$B$78*573</f>
        <v>573</v>
      </c>
      <c r="E78" s="837" t="n">
        <f aca="false">$B$78*560</f>
        <v>560</v>
      </c>
      <c r="F78" s="837" t="n">
        <f aca="false">$B$78*555</f>
        <v>555</v>
      </c>
      <c r="G78" s="837" t="n">
        <f aca="false">$B$78*2*244</f>
        <v>488</v>
      </c>
      <c r="H78" s="428" t="n">
        <f aca="false">G78*H89</f>
        <v>497.76</v>
      </c>
      <c r="I78" s="428" t="n">
        <f aca="false">H78*I89</f>
        <v>507.7152</v>
      </c>
      <c r="J78" s="428" t="n">
        <f aca="false">I78*J89</f>
        <v>517.869504</v>
      </c>
      <c r="K78" s="428" t="n">
        <f aca="false">J78*K89</f>
        <v>528.22689408</v>
      </c>
      <c r="L78" s="428" t="n">
        <f aca="false">K78*L89</f>
        <v>538.7914319616</v>
      </c>
      <c r="M78" s="428" t="n">
        <f aca="false">L78*M89</f>
        <v>549.567260600832</v>
      </c>
      <c r="N78" s="428" t="n">
        <f aca="false">M78*N89</f>
        <v>560.558605812849</v>
      </c>
      <c r="O78" s="428" t="n">
        <f aca="false">N78*O89</f>
        <v>571.769777929106</v>
      </c>
      <c r="P78" s="428" t="n">
        <f aca="false">O78*P89</f>
        <v>583.205173487688</v>
      </c>
      <c r="Q78" s="428" t="n">
        <f aca="false">P78*Q89</f>
        <v>594.869276957442</v>
      </c>
      <c r="R78" s="449"/>
    </row>
    <row r="79" customFormat="false" ht="12.75" hidden="false" customHeight="false" outlineLevel="0" collapsed="false">
      <c r="A79" s="705" t="s">
        <v>532</v>
      </c>
      <c r="B79" s="644" t="n">
        <v>1</v>
      </c>
      <c r="C79" s="17"/>
      <c r="D79" s="837" t="n">
        <f aca="false">$B$79*628</f>
        <v>628</v>
      </c>
      <c r="E79" s="837" t="n">
        <f aca="false">$B$79*700</f>
        <v>700</v>
      </c>
      <c r="F79" s="837" t="n">
        <f aca="false">$B$79*1734</f>
        <v>1734</v>
      </c>
      <c r="G79" s="837" t="n">
        <f aca="false">$B$79*2*2142</f>
        <v>4284</v>
      </c>
      <c r="H79" s="428" t="n">
        <f aca="false">G79*H90</f>
        <v>5355</v>
      </c>
      <c r="I79" s="428" t="n">
        <f aca="false">H79*I90</f>
        <v>6693.75</v>
      </c>
      <c r="J79" s="428" t="n">
        <f aca="false">I79*J90</f>
        <v>7697.8125</v>
      </c>
      <c r="K79" s="428" t="n">
        <f aca="false">J79*K90</f>
        <v>8852.484375</v>
      </c>
      <c r="L79" s="428" t="n">
        <f aca="false">K79*L90</f>
        <v>9295.10859375</v>
      </c>
      <c r="M79" s="428" t="n">
        <f aca="false">L79*M90</f>
        <v>9759.8640234375</v>
      </c>
      <c r="N79" s="428" t="n">
        <f aca="false">M79*N90</f>
        <v>9271.87082226562</v>
      </c>
      <c r="O79" s="428" t="n">
        <f aca="false">N79*O90</f>
        <v>8808.27728115234</v>
      </c>
      <c r="P79" s="428" t="n">
        <f aca="false">O79*P90</f>
        <v>7487.03568897949</v>
      </c>
      <c r="Q79" s="428" t="n">
        <f aca="false">P79*Q90</f>
        <v>6363.98033563257</v>
      </c>
      <c r="R79" s="449"/>
    </row>
    <row r="80" customFormat="false" ht="12.75" hidden="false" customHeight="false" outlineLevel="0" collapsed="false">
      <c r="A80" s="371" t="s">
        <v>533</v>
      </c>
      <c r="B80" s="644" t="n">
        <v>0</v>
      </c>
      <c r="C80" s="17"/>
      <c r="D80" s="837" t="n">
        <f aca="false">$B$80*584</f>
        <v>0</v>
      </c>
      <c r="E80" s="837" t="n">
        <f aca="false">$B$80*846</f>
        <v>0</v>
      </c>
      <c r="F80" s="837" t="n">
        <f aca="false">$B$80*967</f>
        <v>0</v>
      </c>
      <c r="G80" s="837" t="n">
        <f aca="false">$B$80*2*871</f>
        <v>0</v>
      </c>
      <c r="H80" s="428" t="n">
        <f aca="false">G80*H91</f>
        <v>0</v>
      </c>
      <c r="I80" s="428" t="n">
        <f aca="false">H80*I91</f>
        <v>0</v>
      </c>
      <c r="J80" s="428" t="n">
        <f aca="false">I80*J91</f>
        <v>0</v>
      </c>
      <c r="K80" s="428" t="n">
        <f aca="false">J80*K91</f>
        <v>0</v>
      </c>
      <c r="L80" s="428" t="n">
        <f aca="false">K80*L91</f>
        <v>0</v>
      </c>
      <c r="M80" s="428" t="n">
        <f aca="false">L80*M91</f>
        <v>0</v>
      </c>
      <c r="N80" s="428" t="n">
        <f aca="false">M80*N91</f>
        <v>0</v>
      </c>
      <c r="O80" s="428" t="n">
        <f aca="false">N80*O91</f>
        <v>0</v>
      </c>
      <c r="P80" s="428" t="n">
        <f aca="false">O80*P91</f>
        <v>0</v>
      </c>
      <c r="Q80" s="428" t="n">
        <f aca="false">P80*Q91</f>
        <v>0</v>
      </c>
      <c r="R80" s="449"/>
    </row>
    <row r="81" customFormat="false" ht="12.75" hidden="false" customHeight="false" outlineLevel="0" collapsed="false">
      <c r="A81" s="371" t="s">
        <v>534</v>
      </c>
      <c r="B81" s="644" t="n">
        <v>0</v>
      </c>
      <c r="C81" s="17"/>
      <c r="D81" s="837" t="n">
        <f aca="false">$B$81*814</f>
        <v>0</v>
      </c>
      <c r="E81" s="837" t="n">
        <f aca="false">$B$81*1049</f>
        <v>0</v>
      </c>
      <c r="F81" s="837" t="n">
        <f aca="false">$B$81*1076</f>
        <v>0</v>
      </c>
      <c r="G81" s="837" t="n">
        <f aca="false">$B$81*2*743</f>
        <v>0</v>
      </c>
      <c r="H81" s="428" t="n">
        <f aca="false">G81*H92</f>
        <v>0</v>
      </c>
      <c r="I81" s="428" t="n">
        <f aca="false">H81*I92</f>
        <v>0</v>
      </c>
      <c r="J81" s="428" t="n">
        <f aca="false">I81*J92</f>
        <v>0</v>
      </c>
      <c r="K81" s="428" t="n">
        <f aca="false">J81*K92</f>
        <v>0</v>
      </c>
      <c r="L81" s="428" t="n">
        <f aca="false">K81*L92</f>
        <v>0</v>
      </c>
      <c r="M81" s="428" t="n">
        <f aca="false">L81*M92</f>
        <v>0</v>
      </c>
      <c r="N81" s="428" t="n">
        <f aca="false">M81*N92</f>
        <v>0</v>
      </c>
      <c r="O81" s="428" t="n">
        <f aca="false">N81*O92</f>
        <v>0</v>
      </c>
      <c r="P81" s="428" t="n">
        <f aca="false">O81*P92</f>
        <v>0</v>
      </c>
      <c r="Q81" s="428" t="n">
        <f aca="false">P81*Q92</f>
        <v>0</v>
      </c>
      <c r="R81" s="449"/>
    </row>
    <row r="82" customFormat="false" ht="12.75" hidden="false" customHeight="false" outlineLevel="0" collapsed="false">
      <c r="A82" s="378" t="s">
        <v>535</v>
      </c>
      <c r="B82" s="839" t="n">
        <v>0</v>
      </c>
      <c r="C82" s="103"/>
      <c r="D82" s="841" t="n">
        <f aca="false">$B$82*176</f>
        <v>0</v>
      </c>
      <c r="E82" s="841" t="n">
        <f aca="false">$B$82*216</f>
        <v>0</v>
      </c>
      <c r="F82" s="841" t="n">
        <f aca="false">$B$82*298</f>
        <v>0</v>
      </c>
      <c r="G82" s="841" t="n">
        <f aca="false">$B$82*2*131</f>
        <v>0</v>
      </c>
      <c r="H82" s="815" t="n">
        <f aca="false">G82*H93</f>
        <v>0</v>
      </c>
      <c r="I82" s="815" t="n">
        <f aca="false">H82*I93</f>
        <v>0</v>
      </c>
      <c r="J82" s="815" t="n">
        <f aca="false">I82*J93</f>
        <v>0</v>
      </c>
      <c r="K82" s="815" t="n">
        <f aca="false">J82*K93</f>
        <v>0</v>
      </c>
      <c r="L82" s="815" t="n">
        <f aca="false">K82*L93</f>
        <v>0</v>
      </c>
      <c r="M82" s="815" t="n">
        <f aca="false">L82*M93</f>
        <v>0</v>
      </c>
      <c r="N82" s="815" t="n">
        <f aca="false">M82*N93</f>
        <v>0</v>
      </c>
      <c r="O82" s="815" t="n">
        <f aca="false">N82*O93</f>
        <v>0</v>
      </c>
      <c r="P82" s="815" t="n">
        <f aca="false">O82*P93</f>
        <v>0</v>
      </c>
      <c r="Q82" s="815" t="n">
        <f aca="false">P82*Q93</f>
        <v>0</v>
      </c>
      <c r="R82" s="449"/>
    </row>
    <row r="83" customFormat="false" ht="12.75" hidden="false" customHeight="false" outlineLevel="0" collapsed="false">
      <c r="A83" s="842" t="s">
        <v>536</v>
      </c>
      <c r="B83" s="186"/>
      <c r="C83" s="270"/>
      <c r="D83" s="631" t="n">
        <f aca="false">SUM(D75:D82)</f>
        <v>1785</v>
      </c>
      <c r="E83" s="631" t="n">
        <f aca="false">SUM(E75:E82)</f>
        <v>1769</v>
      </c>
      <c r="F83" s="631" t="n">
        <f aca="false">SUM(F75:F82)</f>
        <v>4275</v>
      </c>
      <c r="G83" s="631" t="n">
        <f aca="false">SUM(G75:G82)</f>
        <v>11282</v>
      </c>
      <c r="H83" s="426" t="n">
        <f aca="false">SUM(H75:H82)</f>
        <v>13877.62</v>
      </c>
      <c r="I83" s="426" t="n">
        <f aca="false">SUM(I75:I82)</f>
        <v>17116.521</v>
      </c>
      <c r="J83" s="426" t="n">
        <f aca="false">SUM(J75:J82)</f>
        <v>19552.814478</v>
      </c>
      <c r="K83" s="426" t="n">
        <f aca="false">SUM(K75:K82)</f>
        <v>22351.2764673</v>
      </c>
      <c r="L83" s="426" t="n">
        <f aca="false">SUM(L75:L82)</f>
        <v>23441.4682736282</v>
      </c>
      <c r="M83" s="426" t="n">
        <f aca="false">SUM(M75:M82)</f>
        <v>24585.5069778299</v>
      </c>
      <c r="N83" s="426" t="n">
        <f aca="false">SUM(N75:N82)</f>
        <v>23443.6097192463</v>
      </c>
      <c r="O83" s="426" t="n">
        <f aca="false">SUM(O75:O82)</f>
        <v>22361.0439692187</v>
      </c>
      <c r="P83" s="426" t="n">
        <f aca="false">SUM(P75:P82)</f>
        <v>19220.8337667845</v>
      </c>
      <c r="Q83" s="426" t="n">
        <f aca="false">SUM(Q75:Q82)</f>
        <v>16557.1014778815</v>
      </c>
      <c r="R83" s="449"/>
    </row>
    <row r="84" customFormat="false" ht="12.75" hidden="false" customHeight="false" outlineLevel="0" collapsed="false">
      <c r="C84" s="17"/>
      <c r="F84" s="463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449"/>
    </row>
    <row r="85" customFormat="false" ht="15.75" hidden="false" customHeight="false" outlineLevel="0" collapsed="false">
      <c r="A85" s="696" t="s">
        <v>351</v>
      </c>
      <c r="B85" s="131"/>
      <c r="C85" s="697"/>
      <c r="D85" s="698"/>
      <c r="E85" s="131"/>
      <c r="F85" s="699"/>
      <c r="G85" s="700"/>
      <c r="H85" s="700"/>
      <c r="I85" s="700"/>
      <c r="J85" s="700"/>
      <c r="K85" s="700"/>
      <c r="L85" s="700"/>
      <c r="M85" s="700"/>
      <c r="N85" s="700"/>
      <c r="O85" s="700"/>
      <c r="P85" s="700"/>
      <c r="Q85" s="700"/>
      <c r="R85" s="503"/>
    </row>
    <row r="86" customFormat="false" ht="12.75" hidden="false" customHeight="false" outlineLevel="0" collapsed="false">
      <c r="A86" s="371" t="s">
        <v>528</v>
      </c>
      <c r="C86" s="270"/>
      <c r="D86" s="639"/>
      <c r="F86" s="463"/>
      <c r="G86" s="701"/>
      <c r="H86" s="207" t="n">
        <v>1.01</v>
      </c>
      <c r="I86" s="207" t="n">
        <v>1.01</v>
      </c>
      <c r="J86" s="207" t="n">
        <v>1.01</v>
      </c>
      <c r="K86" s="207" t="n">
        <v>1.01</v>
      </c>
      <c r="L86" s="207" t="n">
        <v>1.01</v>
      </c>
      <c r="M86" s="207" t="n">
        <v>1.01</v>
      </c>
      <c r="N86" s="207" t="n">
        <v>1.01</v>
      </c>
      <c r="O86" s="207" t="n">
        <v>1.01</v>
      </c>
      <c r="P86" s="207" t="n">
        <v>1.01</v>
      </c>
      <c r="Q86" s="207" t="n">
        <v>1.01</v>
      </c>
      <c r="R86" s="449"/>
    </row>
    <row r="87" customFormat="false" ht="12.75" hidden="false" customHeight="false" outlineLevel="0" collapsed="false">
      <c r="A87" s="843" t="s">
        <v>529</v>
      </c>
      <c r="C87" s="270"/>
      <c r="D87" s="639"/>
      <c r="F87" s="463"/>
      <c r="G87" s="701"/>
      <c r="H87" s="207" t="n">
        <v>1.25</v>
      </c>
      <c r="I87" s="207" t="n">
        <v>1.25</v>
      </c>
      <c r="J87" s="207" t="n">
        <v>1.15</v>
      </c>
      <c r="K87" s="207" t="n">
        <v>1.15</v>
      </c>
      <c r="L87" s="207" t="n">
        <v>1.05</v>
      </c>
      <c r="M87" s="207" t="n">
        <v>1.05</v>
      </c>
      <c r="N87" s="207" t="n">
        <v>0.95</v>
      </c>
      <c r="O87" s="207" t="n">
        <v>0.95</v>
      </c>
      <c r="P87" s="207" t="n">
        <v>0.85</v>
      </c>
      <c r="Q87" s="207" t="n">
        <v>0.85</v>
      </c>
      <c r="R87" s="449"/>
    </row>
    <row r="88" customFormat="false" ht="12.75" hidden="false" customHeight="false" outlineLevel="0" collapsed="false">
      <c r="A88" s="371" t="s">
        <v>530</v>
      </c>
      <c r="C88" s="270"/>
      <c r="D88" s="639"/>
      <c r="F88" s="463"/>
      <c r="G88" s="701"/>
      <c r="H88" s="207" t="n">
        <v>1.03</v>
      </c>
      <c r="I88" s="207" t="n">
        <v>1.03</v>
      </c>
      <c r="J88" s="207" t="n">
        <v>1.03</v>
      </c>
      <c r="K88" s="207" t="n">
        <v>1.03</v>
      </c>
      <c r="L88" s="207" t="n">
        <v>1.03</v>
      </c>
      <c r="M88" s="207" t="n">
        <v>1.03</v>
      </c>
      <c r="N88" s="207" t="n">
        <v>1.03</v>
      </c>
      <c r="O88" s="207" t="n">
        <v>1.03</v>
      </c>
      <c r="P88" s="207" t="n">
        <v>1.03</v>
      </c>
      <c r="Q88" s="207" t="n">
        <v>1.03</v>
      </c>
      <c r="R88" s="449"/>
    </row>
    <row r="89" customFormat="false" ht="12.75" hidden="false" customHeight="false" outlineLevel="0" collapsed="false">
      <c r="A89" s="371" t="s">
        <v>531</v>
      </c>
      <c r="C89" s="270"/>
      <c r="D89" s="639"/>
      <c r="F89" s="463"/>
      <c r="G89" s="701"/>
      <c r="H89" s="207" t="n">
        <v>1.02</v>
      </c>
      <c r="I89" s="207" t="n">
        <v>1.02</v>
      </c>
      <c r="J89" s="207" t="n">
        <v>1.02</v>
      </c>
      <c r="K89" s="207" t="n">
        <v>1.02</v>
      </c>
      <c r="L89" s="207" t="n">
        <v>1.02</v>
      </c>
      <c r="M89" s="207" t="n">
        <v>1.02</v>
      </c>
      <c r="N89" s="207" t="n">
        <v>1.02</v>
      </c>
      <c r="O89" s="207" t="n">
        <v>1.02</v>
      </c>
      <c r="P89" s="207" t="n">
        <v>1.02</v>
      </c>
      <c r="Q89" s="207" t="n">
        <v>1.02</v>
      </c>
      <c r="R89" s="449"/>
    </row>
    <row r="90" customFormat="false" ht="12.75" hidden="false" customHeight="false" outlineLevel="0" collapsed="false">
      <c r="A90" s="705" t="s">
        <v>532</v>
      </c>
      <c r="C90" s="270"/>
      <c r="D90" s="639"/>
      <c r="F90" s="463"/>
      <c r="G90" s="701"/>
      <c r="H90" s="207" t="n">
        <v>1.25</v>
      </c>
      <c r="I90" s="207" t="n">
        <v>1.25</v>
      </c>
      <c r="J90" s="207" t="n">
        <v>1.15</v>
      </c>
      <c r="K90" s="207" t="n">
        <v>1.15</v>
      </c>
      <c r="L90" s="207" t="n">
        <v>1.05</v>
      </c>
      <c r="M90" s="207" t="n">
        <v>1.05</v>
      </c>
      <c r="N90" s="207" t="n">
        <v>0.95</v>
      </c>
      <c r="O90" s="207" t="n">
        <v>0.95</v>
      </c>
      <c r="P90" s="207" t="n">
        <v>0.85</v>
      </c>
      <c r="Q90" s="207" t="n">
        <v>0.85</v>
      </c>
      <c r="R90" s="449"/>
    </row>
    <row r="91" customFormat="false" ht="12.75" hidden="false" customHeight="false" outlineLevel="0" collapsed="false">
      <c r="A91" s="371" t="s">
        <v>533</v>
      </c>
      <c r="C91" s="270"/>
      <c r="D91" s="639"/>
      <c r="F91" s="463"/>
      <c r="G91" s="701"/>
      <c r="H91" s="207" t="n">
        <v>1.01</v>
      </c>
      <c r="I91" s="207" t="n">
        <v>1.01</v>
      </c>
      <c r="J91" s="207" t="n">
        <v>1.01</v>
      </c>
      <c r="K91" s="207" t="n">
        <v>1.01</v>
      </c>
      <c r="L91" s="207" t="n">
        <v>1.01</v>
      </c>
      <c r="M91" s="207" t="n">
        <v>1.01</v>
      </c>
      <c r="N91" s="207" t="n">
        <v>1.01</v>
      </c>
      <c r="O91" s="207" t="n">
        <v>1.01</v>
      </c>
      <c r="P91" s="207" t="n">
        <v>1.01</v>
      </c>
      <c r="Q91" s="207" t="n">
        <v>1.01</v>
      </c>
      <c r="R91" s="449"/>
    </row>
    <row r="92" customFormat="false" ht="12.75" hidden="false" customHeight="false" outlineLevel="0" collapsed="false">
      <c r="A92" s="371" t="s">
        <v>534</v>
      </c>
      <c r="C92" s="270"/>
      <c r="D92" s="639"/>
      <c r="F92" s="463"/>
      <c r="G92" s="701"/>
      <c r="H92" s="207" t="n">
        <v>1.01</v>
      </c>
      <c r="I92" s="207" t="n">
        <v>1.01</v>
      </c>
      <c r="J92" s="207" t="n">
        <v>1.01</v>
      </c>
      <c r="K92" s="207" t="n">
        <v>1.01</v>
      </c>
      <c r="L92" s="207" t="n">
        <v>1.01</v>
      </c>
      <c r="M92" s="207" t="n">
        <v>1.01</v>
      </c>
      <c r="N92" s="207" t="n">
        <v>1.01</v>
      </c>
      <c r="O92" s="207" t="n">
        <v>1.01</v>
      </c>
      <c r="P92" s="207" t="n">
        <v>1.01</v>
      </c>
      <c r="Q92" s="207" t="n">
        <v>1.01</v>
      </c>
      <c r="R92" s="449"/>
    </row>
    <row r="93" customFormat="false" ht="12.75" hidden="false" customHeight="false" outlineLevel="0" collapsed="false">
      <c r="A93" s="25" t="s">
        <v>535</v>
      </c>
      <c r="C93" s="270"/>
      <c r="D93" s="639"/>
      <c r="F93" s="463"/>
      <c r="G93" s="701"/>
      <c r="H93" s="207" t="n">
        <v>1.01</v>
      </c>
      <c r="I93" s="207" t="n">
        <v>1.01</v>
      </c>
      <c r="J93" s="207" t="n">
        <v>1.01</v>
      </c>
      <c r="K93" s="207" t="n">
        <v>1.01</v>
      </c>
      <c r="L93" s="207" t="n">
        <v>1.01</v>
      </c>
      <c r="M93" s="207" t="n">
        <v>1.01</v>
      </c>
      <c r="N93" s="207" t="n">
        <v>1.01</v>
      </c>
      <c r="O93" s="207" t="n">
        <v>1.01</v>
      </c>
      <c r="P93" s="207" t="n">
        <v>1.01</v>
      </c>
      <c r="Q93" s="207" t="n">
        <v>1.01</v>
      </c>
      <c r="R93" s="449"/>
    </row>
    <row r="94" customFormat="false" ht="12.75" hidden="false" customHeight="false" outlineLevel="0" collapsed="false">
      <c r="R94" s="449"/>
    </row>
    <row r="95" customFormat="false" ht="15.75" hidden="false" customHeight="false" outlineLevel="0" collapsed="false">
      <c r="A95" s="497" t="s">
        <v>537</v>
      </c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449"/>
    </row>
    <row r="96" customFormat="false" ht="12.75" hidden="false" customHeight="true" outlineLevel="0" collapsed="false">
      <c r="A96" s="501"/>
      <c r="B96" s="449"/>
      <c r="C96" s="449"/>
      <c r="D96" s="505"/>
      <c r="E96" s="505"/>
      <c r="F96" s="295"/>
      <c r="G96" s="306" t="s">
        <v>192</v>
      </c>
      <c r="H96" s="307"/>
      <c r="I96" s="295"/>
      <c r="J96" s="295"/>
      <c r="K96" s="176"/>
      <c r="L96" s="295"/>
      <c r="M96" s="176"/>
      <c r="N96" s="176"/>
      <c r="O96" s="176"/>
      <c r="P96" s="176"/>
      <c r="Q96" s="103"/>
      <c r="R96" s="449"/>
    </row>
    <row r="97" customFormat="false" ht="12.75" hidden="false" customHeight="true" outlineLevel="0" collapsed="false">
      <c r="A97" s="501"/>
      <c r="B97" s="449"/>
      <c r="C97" s="449"/>
      <c r="D97" s="308" t="n">
        <v>1998</v>
      </c>
      <c r="E97" s="308" t="n">
        <v>1999</v>
      </c>
      <c r="F97" s="308" t="n">
        <v>2000</v>
      </c>
      <c r="G97" s="308" t="n">
        <v>2001</v>
      </c>
      <c r="H97" s="309" t="n">
        <v>2002</v>
      </c>
      <c r="I97" s="309" t="n">
        <v>2003</v>
      </c>
      <c r="J97" s="309" t="n">
        <v>2004</v>
      </c>
      <c r="K97" s="309" t="n">
        <v>2005</v>
      </c>
      <c r="L97" s="309" t="n">
        <v>2006</v>
      </c>
      <c r="M97" s="310" t="n">
        <v>2007</v>
      </c>
      <c r="N97" s="310" t="n">
        <v>2008</v>
      </c>
      <c r="O97" s="310" t="n">
        <v>2009</v>
      </c>
      <c r="P97" s="310" t="n">
        <v>2010</v>
      </c>
      <c r="Q97" s="441" t="n">
        <v>2011</v>
      </c>
      <c r="R97" s="449"/>
    </row>
    <row r="98" customFormat="false" ht="12.75" hidden="false" customHeight="true" outlineLevel="0" collapsed="false">
      <c r="A98" s="501"/>
      <c r="B98" s="507" t="s">
        <v>268</v>
      </c>
      <c r="C98" s="449"/>
      <c r="F98" s="704" t="s">
        <v>193</v>
      </c>
      <c r="G98" s="308" t="n">
        <v>1</v>
      </c>
      <c r="H98" s="309" t="n">
        <v>2</v>
      </c>
      <c r="I98" s="309" t="n">
        <v>3</v>
      </c>
      <c r="J98" s="309" t="n">
        <v>4</v>
      </c>
      <c r="K98" s="309" t="n">
        <v>5</v>
      </c>
      <c r="L98" s="309" t="n">
        <v>6</v>
      </c>
      <c r="M98" s="309" t="n">
        <v>7</v>
      </c>
      <c r="N98" s="309" t="n">
        <v>8</v>
      </c>
      <c r="O98" s="309" t="n">
        <v>9</v>
      </c>
      <c r="P98" s="309" t="n">
        <v>10</v>
      </c>
      <c r="Q98" s="387" t="n">
        <v>11</v>
      </c>
      <c r="R98" s="449"/>
    </row>
    <row r="99" customFormat="false" ht="12.75" hidden="false" customHeight="false" outlineLevel="0" collapsed="false">
      <c r="A99" s="371" t="s">
        <v>538</v>
      </c>
      <c r="B99" s="644" t="n">
        <v>0</v>
      </c>
      <c r="D99" s="837"/>
      <c r="E99" s="837"/>
      <c r="F99" s="837"/>
      <c r="G99" s="837" t="n">
        <f aca="false">$B$99*555</f>
        <v>0</v>
      </c>
      <c r="H99" s="837" t="n">
        <f aca="false">$B$99*555</f>
        <v>0</v>
      </c>
      <c r="I99" s="837" t="n">
        <f aca="false">$B$99*355</f>
        <v>0</v>
      </c>
      <c r="J99" s="428" t="n">
        <f aca="false">I99*J110</f>
        <v>0</v>
      </c>
      <c r="K99" s="428" t="n">
        <f aca="false">J99*K110</f>
        <v>0</v>
      </c>
      <c r="L99" s="428" t="n">
        <f aca="false">K99*L110</f>
        <v>0</v>
      </c>
      <c r="M99" s="428" t="n">
        <f aca="false">L99*M110</f>
        <v>0</v>
      </c>
      <c r="N99" s="428" t="n">
        <f aca="false">M99*N110</f>
        <v>0</v>
      </c>
      <c r="O99" s="428" t="n">
        <f aca="false">N99*O110</f>
        <v>0</v>
      </c>
      <c r="P99" s="428" t="n">
        <f aca="false">O99*P110</f>
        <v>0</v>
      </c>
      <c r="Q99" s="428" t="n">
        <f aca="false">P99*Q110</f>
        <v>0</v>
      </c>
      <c r="R99" s="449"/>
    </row>
    <row r="100" customFormat="false" ht="12.75" hidden="false" customHeight="false" outlineLevel="0" collapsed="false">
      <c r="A100" s="371" t="s">
        <v>539</v>
      </c>
      <c r="B100" s="644" t="n">
        <v>0</v>
      </c>
      <c r="D100" s="837"/>
      <c r="E100" s="837"/>
      <c r="F100" s="837"/>
      <c r="G100" s="837" t="n">
        <f aca="false">$B$100*145</f>
        <v>0</v>
      </c>
      <c r="H100" s="837" t="n">
        <f aca="false">$B$100*145</f>
        <v>0</v>
      </c>
      <c r="I100" s="837" t="n">
        <f aca="false">$B$100*135</f>
        <v>0</v>
      </c>
      <c r="J100" s="428" t="n">
        <f aca="false">I100*J111</f>
        <v>0</v>
      </c>
      <c r="K100" s="428" t="n">
        <f aca="false">J100*K111</f>
        <v>0</v>
      </c>
      <c r="L100" s="428" t="n">
        <f aca="false">K100*L111</f>
        <v>0</v>
      </c>
      <c r="M100" s="428" t="n">
        <f aca="false">L100*M111</f>
        <v>0</v>
      </c>
      <c r="N100" s="428" t="n">
        <f aca="false">M100*N111</f>
        <v>0</v>
      </c>
      <c r="O100" s="428" t="n">
        <f aca="false">N100*O111</f>
        <v>0</v>
      </c>
      <c r="P100" s="428" t="n">
        <f aca="false">O100*P111</f>
        <v>0</v>
      </c>
      <c r="Q100" s="428" t="n">
        <f aca="false">P100*Q111</f>
        <v>0</v>
      </c>
      <c r="R100" s="449"/>
    </row>
    <row r="101" customFormat="false" ht="12.75" hidden="false" customHeight="false" outlineLevel="0" collapsed="false">
      <c r="A101" s="371" t="s">
        <v>540</v>
      </c>
      <c r="B101" s="644" t="n">
        <v>0</v>
      </c>
      <c r="D101" s="837"/>
      <c r="E101" s="844"/>
      <c r="F101" s="844"/>
      <c r="G101" s="837" t="n">
        <f aca="false">$B$101*220</f>
        <v>0</v>
      </c>
      <c r="H101" s="837" t="n">
        <f aca="false">$B$101*215</f>
        <v>0</v>
      </c>
      <c r="I101" s="837" t="n">
        <f aca="false">$B$101*280</f>
        <v>0</v>
      </c>
      <c r="J101" s="428" t="n">
        <f aca="false">I101*J112</f>
        <v>0</v>
      </c>
      <c r="K101" s="428" t="n">
        <f aca="false">J101*K112</f>
        <v>0</v>
      </c>
      <c r="L101" s="428" t="n">
        <f aca="false">K101*L112</f>
        <v>0</v>
      </c>
      <c r="M101" s="428" t="n">
        <f aca="false">L101*M112</f>
        <v>0</v>
      </c>
      <c r="N101" s="428" t="n">
        <f aca="false">M101*N112</f>
        <v>0</v>
      </c>
      <c r="O101" s="428" t="n">
        <f aca="false">N101*O112</f>
        <v>0</v>
      </c>
      <c r="P101" s="428" t="n">
        <f aca="false">O101*P112</f>
        <v>0</v>
      </c>
      <c r="Q101" s="428" t="n">
        <f aca="false">P101*Q112</f>
        <v>0</v>
      </c>
      <c r="R101" s="449"/>
    </row>
    <row r="102" customFormat="false" ht="12.75" hidden="false" customHeight="false" outlineLevel="0" collapsed="false">
      <c r="A102" s="371" t="s">
        <v>522</v>
      </c>
      <c r="B102" s="644" t="n">
        <v>1</v>
      </c>
      <c r="D102" s="837"/>
      <c r="E102" s="844"/>
      <c r="F102" s="844"/>
      <c r="G102" s="837" t="n">
        <f aca="false">$B$102*65</f>
        <v>65</v>
      </c>
      <c r="H102" s="837" t="n">
        <f aca="false">$B$102*150</f>
        <v>150</v>
      </c>
      <c r="I102" s="837" t="n">
        <f aca="false">$B$102*240</f>
        <v>240</v>
      </c>
      <c r="J102" s="428" t="n">
        <f aca="false">I102*J113</f>
        <v>244.8</v>
      </c>
      <c r="K102" s="428" t="n">
        <f aca="false">J102*K113</f>
        <v>249.696</v>
      </c>
      <c r="L102" s="428" t="n">
        <f aca="false">K102*L113</f>
        <v>254.68992</v>
      </c>
      <c r="M102" s="428" t="n">
        <f aca="false">L102*M113</f>
        <v>259.7837184</v>
      </c>
      <c r="N102" s="428" t="n">
        <f aca="false">M102*N113</f>
        <v>264.979392768</v>
      </c>
      <c r="O102" s="428" t="n">
        <f aca="false">N102*O113</f>
        <v>270.27898062336</v>
      </c>
      <c r="P102" s="428" t="n">
        <f aca="false">O102*P113</f>
        <v>275.684560235827</v>
      </c>
      <c r="Q102" s="428" t="n">
        <f aca="false">P102*Q113</f>
        <v>281.198251440544</v>
      </c>
      <c r="R102" s="449"/>
    </row>
    <row r="103" customFormat="false" ht="12.75" hidden="false" customHeight="false" outlineLevel="0" collapsed="false">
      <c r="A103" s="371" t="s">
        <v>541</v>
      </c>
      <c r="B103" s="644" t="n">
        <v>1</v>
      </c>
      <c r="D103" s="837"/>
      <c r="E103" s="844"/>
      <c r="F103" s="844"/>
      <c r="G103" s="837" t="n">
        <f aca="false">$B$103*195</f>
        <v>195</v>
      </c>
      <c r="H103" s="837" t="n">
        <f aca="false">$B$103*235</f>
        <v>235</v>
      </c>
      <c r="I103" s="837" t="n">
        <f aca="false">$B$103*245</f>
        <v>245</v>
      </c>
      <c r="J103" s="428" t="n">
        <f aca="false">I103*J114</f>
        <v>252.35</v>
      </c>
      <c r="K103" s="428" t="n">
        <f aca="false">J103*K114</f>
        <v>259.9205</v>
      </c>
      <c r="L103" s="428" t="n">
        <f aca="false">K103*L114</f>
        <v>267.718115</v>
      </c>
      <c r="M103" s="428" t="n">
        <f aca="false">L103*M114</f>
        <v>275.74965845</v>
      </c>
      <c r="N103" s="428" t="n">
        <f aca="false">M103*N114</f>
        <v>284.0221482035</v>
      </c>
      <c r="O103" s="428" t="n">
        <f aca="false">N103*O114</f>
        <v>292.542812649605</v>
      </c>
      <c r="P103" s="428" t="n">
        <f aca="false">O103*P114</f>
        <v>301.319097029093</v>
      </c>
      <c r="Q103" s="428" t="n">
        <f aca="false">P103*Q114</f>
        <v>310.358669939966</v>
      </c>
      <c r="R103" s="449"/>
    </row>
    <row r="104" customFormat="false" ht="12.75" hidden="false" customHeight="false" outlineLevel="0" collapsed="false">
      <c r="A104" s="371" t="s">
        <v>524</v>
      </c>
      <c r="B104" s="644" t="n">
        <v>1</v>
      </c>
      <c r="D104" s="837"/>
      <c r="E104" s="837"/>
      <c r="F104" s="837"/>
      <c r="G104" s="837" t="n">
        <f aca="false">$B$104*5</f>
        <v>5</v>
      </c>
      <c r="H104" s="837" t="n">
        <f aca="false">$B$104*5</f>
        <v>5</v>
      </c>
      <c r="I104" s="837" t="n">
        <f aca="false">$B$104*5</f>
        <v>5</v>
      </c>
      <c r="J104" s="428" t="n">
        <f aca="false">I104*J115</f>
        <v>5.05</v>
      </c>
      <c r="K104" s="428" t="n">
        <f aca="false">J104*K115</f>
        <v>5.1005</v>
      </c>
      <c r="L104" s="428" t="n">
        <f aca="false">K104*L115</f>
        <v>5.151505</v>
      </c>
      <c r="M104" s="428" t="n">
        <f aca="false">L104*M115</f>
        <v>5.20302005</v>
      </c>
      <c r="N104" s="428" t="n">
        <f aca="false">M104*N115</f>
        <v>5.2550502505</v>
      </c>
      <c r="O104" s="428" t="n">
        <f aca="false">N104*O115</f>
        <v>5.307600753005</v>
      </c>
      <c r="P104" s="428" t="n">
        <f aca="false">O104*P115</f>
        <v>5.36067676053505</v>
      </c>
      <c r="Q104" s="428" t="n">
        <f aca="false">P104*Q115</f>
        <v>5.4142835281404</v>
      </c>
      <c r="R104" s="449"/>
    </row>
    <row r="105" customFormat="false" ht="12.75" hidden="false" customHeight="false" outlineLevel="0" collapsed="false">
      <c r="A105" s="371" t="s">
        <v>525</v>
      </c>
      <c r="B105" s="644" t="n">
        <v>1</v>
      </c>
      <c r="D105" s="837"/>
      <c r="E105" s="837"/>
      <c r="F105" s="837"/>
      <c r="G105" s="837" t="n">
        <f aca="false">$B$105*60</f>
        <v>60</v>
      </c>
      <c r="H105" s="837" t="n">
        <f aca="false">$B$105*5</f>
        <v>5</v>
      </c>
      <c r="I105" s="837" t="n">
        <f aca="false">$B$105*5</f>
        <v>5</v>
      </c>
      <c r="J105" s="428" t="n">
        <f aca="false">I105*J116</f>
        <v>5.05</v>
      </c>
      <c r="K105" s="428" t="n">
        <f aca="false">J105*K116</f>
        <v>5.1005</v>
      </c>
      <c r="L105" s="428" t="n">
        <f aca="false">K105*L116</f>
        <v>5.151505</v>
      </c>
      <c r="M105" s="428" t="n">
        <f aca="false">L105*M116</f>
        <v>5.20302005</v>
      </c>
      <c r="N105" s="428" t="n">
        <f aca="false">M105*N116</f>
        <v>5.2550502505</v>
      </c>
      <c r="O105" s="428" t="n">
        <f aca="false">N105*O116</f>
        <v>5.307600753005</v>
      </c>
      <c r="P105" s="428" t="n">
        <f aca="false">O105*P116</f>
        <v>5.36067676053505</v>
      </c>
      <c r="Q105" s="428" t="n">
        <f aca="false">P105*Q116</f>
        <v>5.4142835281404</v>
      </c>
      <c r="R105" s="449"/>
    </row>
    <row r="106" customFormat="false" ht="12.75" hidden="false" customHeight="false" outlineLevel="0" collapsed="false">
      <c r="A106" s="378" t="s">
        <v>347</v>
      </c>
      <c r="B106" s="839" t="n">
        <v>1</v>
      </c>
      <c r="C106" s="103"/>
      <c r="D106" s="841"/>
      <c r="E106" s="841"/>
      <c r="F106" s="841"/>
      <c r="G106" s="841" t="n">
        <f aca="false">$B$106*30</f>
        <v>30</v>
      </c>
      <c r="H106" s="841" t="n">
        <f aca="false">$B$106*25</f>
        <v>25</v>
      </c>
      <c r="I106" s="841" t="n">
        <f aca="false">$B$106*5</f>
        <v>5</v>
      </c>
      <c r="J106" s="815" t="n">
        <f aca="false">I106*J117</f>
        <v>5.05</v>
      </c>
      <c r="K106" s="815" t="n">
        <f aca="false">J106*K117</f>
        <v>5.1005</v>
      </c>
      <c r="L106" s="815" t="n">
        <f aca="false">K106*L117</f>
        <v>5.151505</v>
      </c>
      <c r="M106" s="815" t="n">
        <f aca="false">L106*M117</f>
        <v>5.20302005</v>
      </c>
      <c r="N106" s="815" t="n">
        <f aca="false">M106*N117</f>
        <v>5.2550502505</v>
      </c>
      <c r="O106" s="815" t="n">
        <f aca="false">N106*O117</f>
        <v>5.307600753005</v>
      </c>
      <c r="P106" s="815" t="n">
        <f aca="false">O106*P117</f>
        <v>5.36067676053505</v>
      </c>
      <c r="Q106" s="815" t="n">
        <f aca="false">P106*Q117</f>
        <v>5.4142835281404</v>
      </c>
      <c r="R106" s="449"/>
    </row>
    <row r="107" customFormat="false" ht="12.75" hidden="false" customHeight="false" outlineLevel="0" collapsed="false">
      <c r="A107" s="529" t="s">
        <v>542</v>
      </c>
      <c r="D107" s="845"/>
      <c r="E107" s="845"/>
      <c r="F107" s="845"/>
      <c r="G107" s="631" t="n">
        <f aca="false">SUM(G99:G106)</f>
        <v>355</v>
      </c>
      <c r="H107" s="631" t="n">
        <f aca="false">SUM(H99:H106)</f>
        <v>420</v>
      </c>
      <c r="I107" s="631" t="n">
        <f aca="false">SUM(I99:I106)</f>
        <v>500</v>
      </c>
      <c r="J107" s="426" t="n">
        <f aca="false">SUM(J99:J106)</f>
        <v>512.3</v>
      </c>
      <c r="K107" s="426" t="n">
        <f aca="false">SUM(K99:K106)</f>
        <v>524.918</v>
      </c>
      <c r="L107" s="426" t="n">
        <f aca="false">SUM(L99:L106)</f>
        <v>537.86255</v>
      </c>
      <c r="M107" s="426" t="n">
        <f aca="false">SUM(M99:M106)</f>
        <v>551.142437</v>
      </c>
      <c r="N107" s="426" t="n">
        <f aca="false">SUM(N99:N106)</f>
        <v>564.766691723</v>
      </c>
      <c r="O107" s="426" t="n">
        <f aca="false">SUM(O99:O106)</f>
        <v>578.74459553198</v>
      </c>
      <c r="P107" s="426" t="n">
        <f aca="false">SUM(P99:P106)</f>
        <v>593.085687546526</v>
      </c>
      <c r="Q107" s="426" t="n">
        <f aca="false">SUM(Q99:Q106)</f>
        <v>607.799771964931</v>
      </c>
      <c r="R107" s="449"/>
    </row>
    <row r="108" customFormat="false" ht="12.75" hidden="false" customHeight="false" outlineLevel="0" collapsed="false">
      <c r="A108" s="529"/>
      <c r="D108" s="706"/>
      <c r="E108" s="706"/>
      <c r="F108" s="706"/>
      <c r="G108" s="426"/>
      <c r="H108" s="426"/>
      <c r="I108" s="426"/>
      <c r="J108" s="426"/>
      <c r="K108" s="426"/>
      <c r="L108" s="426"/>
      <c r="M108" s="426"/>
      <c r="N108" s="426"/>
      <c r="O108" s="426"/>
      <c r="P108" s="426"/>
      <c r="Q108" s="426"/>
      <c r="R108" s="449"/>
    </row>
    <row r="109" customFormat="false" ht="15.75" hidden="false" customHeight="false" outlineLevel="0" collapsed="false">
      <c r="A109" s="696" t="s">
        <v>351</v>
      </c>
      <c r="B109" s="131"/>
      <c r="C109" s="697"/>
      <c r="D109" s="698"/>
      <c r="E109" s="131"/>
      <c r="F109" s="699"/>
      <c r="G109" s="700"/>
      <c r="H109" s="700"/>
      <c r="I109" s="700"/>
      <c r="J109" s="700"/>
      <c r="K109" s="700"/>
      <c r="L109" s="700"/>
      <c r="M109" s="700"/>
      <c r="N109" s="700"/>
      <c r="O109" s="700"/>
      <c r="P109" s="700"/>
      <c r="Q109" s="700"/>
      <c r="R109" s="503"/>
    </row>
    <row r="110" customFormat="false" ht="12.75" hidden="false" customHeight="false" outlineLevel="0" collapsed="false">
      <c r="A110" s="371" t="s">
        <v>538</v>
      </c>
      <c r="C110" s="270"/>
      <c r="D110" s="639"/>
      <c r="F110" s="463"/>
      <c r="G110" s="701"/>
      <c r="H110" s="701"/>
      <c r="I110" s="701"/>
      <c r="J110" s="207" t="n">
        <v>1.01</v>
      </c>
      <c r="K110" s="207" t="n">
        <v>1.01</v>
      </c>
      <c r="L110" s="207" t="n">
        <v>1.01</v>
      </c>
      <c r="M110" s="207" t="n">
        <v>1.01</v>
      </c>
      <c r="N110" s="207" t="n">
        <v>1.01</v>
      </c>
      <c r="O110" s="207" t="n">
        <v>1.01</v>
      </c>
      <c r="P110" s="207" t="n">
        <v>1.01</v>
      </c>
      <c r="Q110" s="207" t="n">
        <v>1.01</v>
      </c>
      <c r="R110" s="449"/>
    </row>
    <row r="111" customFormat="false" ht="12.75" hidden="false" customHeight="false" outlineLevel="0" collapsed="false">
      <c r="A111" s="371" t="s">
        <v>539</v>
      </c>
      <c r="C111" s="270"/>
      <c r="D111" s="639"/>
      <c r="F111" s="463"/>
      <c r="G111" s="701"/>
      <c r="H111" s="701"/>
      <c r="I111" s="701"/>
      <c r="J111" s="207" t="n">
        <v>1.02</v>
      </c>
      <c r="K111" s="207" t="n">
        <v>1.02</v>
      </c>
      <c r="L111" s="207" t="n">
        <v>1.02</v>
      </c>
      <c r="M111" s="207" t="n">
        <v>1.02</v>
      </c>
      <c r="N111" s="207" t="n">
        <v>1.02</v>
      </c>
      <c r="O111" s="207" t="n">
        <v>1.02</v>
      </c>
      <c r="P111" s="207" t="n">
        <v>1.02</v>
      </c>
      <c r="Q111" s="207" t="n">
        <v>1.02</v>
      </c>
      <c r="R111" s="449"/>
    </row>
    <row r="112" customFormat="false" ht="12.75" hidden="false" customHeight="false" outlineLevel="0" collapsed="false">
      <c r="A112" s="371" t="s">
        <v>540</v>
      </c>
      <c r="C112" s="270"/>
      <c r="D112" s="639"/>
      <c r="F112" s="463"/>
      <c r="G112" s="701"/>
      <c r="H112" s="701"/>
      <c r="I112" s="701"/>
      <c r="J112" s="207" t="n">
        <v>1.03</v>
      </c>
      <c r="K112" s="207" t="n">
        <v>1.03</v>
      </c>
      <c r="L112" s="207" t="n">
        <v>1.03</v>
      </c>
      <c r="M112" s="207" t="n">
        <v>1.03</v>
      </c>
      <c r="N112" s="207" t="n">
        <v>1.03</v>
      </c>
      <c r="O112" s="207" t="n">
        <v>1.03</v>
      </c>
      <c r="P112" s="207" t="n">
        <v>1.03</v>
      </c>
      <c r="Q112" s="207" t="n">
        <v>1.03</v>
      </c>
      <c r="R112" s="449"/>
    </row>
    <row r="113" customFormat="false" ht="12.75" hidden="false" customHeight="false" outlineLevel="0" collapsed="false">
      <c r="A113" s="371" t="s">
        <v>522</v>
      </c>
      <c r="C113" s="270"/>
      <c r="D113" s="639"/>
      <c r="F113" s="463"/>
      <c r="G113" s="701"/>
      <c r="H113" s="701"/>
      <c r="I113" s="701"/>
      <c r="J113" s="207" t="n">
        <v>1.02</v>
      </c>
      <c r="K113" s="207" t="n">
        <v>1.02</v>
      </c>
      <c r="L113" s="207" t="n">
        <v>1.02</v>
      </c>
      <c r="M113" s="207" t="n">
        <v>1.02</v>
      </c>
      <c r="N113" s="207" t="n">
        <v>1.02</v>
      </c>
      <c r="O113" s="207" t="n">
        <v>1.02</v>
      </c>
      <c r="P113" s="207" t="n">
        <v>1.02</v>
      </c>
      <c r="Q113" s="207" t="n">
        <v>1.02</v>
      </c>
      <c r="R113" s="449"/>
    </row>
    <row r="114" customFormat="false" ht="12.75" hidden="false" customHeight="false" outlineLevel="0" collapsed="false">
      <c r="A114" s="371" t="s">
        <v>543</v>
      </c>
      <c r="C114" s="270"/>
      <c r="D114" s="639"/>
      <c r="F114" s="463"/>
      <c r="G114" s="701"/>
      <c r="H114" s="701"/>
      <c r="I114" s="701"/>
      <c r="J114" s="207" t="n">
        <v>1.03</v>
      </c>
      <c r="K114" s="207" t="n">
        <v>1.03</v>
      </c>
      <c r="L114" s="207" t="n">
        <v>1.03</v>
      </c>
      <c r="M114" s="207" t="n">
        <v>1.03</v>
      </c>
      <c r="N114" s="207" t="n">
        <v>1.03</v>
      </c>
      <c r="O114" s="207" t="n">
        <v>1.03</v>
      </c>
      <c r="P114" s="207" t="n">
        <v>1.03</v>
      </c>
      <c r="Q114" s="207" t="n">
        <v>1.03</v>
      </c>
      <c r="R114" s="449"/>
    </row>
    <row r="115" customFormat="false" ht="12.75" hidden="false" customHeight="false" outlineLevel="0" collapsed="false">
      <c r="A115" s="371" t="s">
        <v>524</v>
      </c>
      <c r="C115" s="270"/>
      <c r="D115" s="639"/>
      <c r="F115" s="463"/>
      <c r="G115" s="701"/>
      <c r="H115" s="701"/>
      <c r="I115" s="701"/>
      <c r="J115" s="207" t="n">
        <v>1.01</v>
      </c>
      <c r="K115" s="207" t="n">
        <v>1.01</v>
      </c>
      <c r="L115" s="207" t="n">
        <v>1.01</v>
      </c>
      <c r="M115" s="207" t="n">
        <v>1.01</v>
      </c>
      <c r="N115" s="207" t="n">
        <v>1.01</v>
      </c>
      <c r="O115" s="207" t="n">
        <v>1.01</v>
      </c>
      <c r="P115" s="207" t="n">
        <v>1.01</v>
      </c>
      <c r="Q115" s="207" t="n">
        <v>1.01</v>
      </c>
      <c r="R115" s="449"/>
    </row>
    <row r="116" customFormat="false" ht="12.75" hidden="false" customHeight="false" outlineLevel="0" collapsed="false">
      <c r="A116" s="371" t="s">
        <v>525</v>
      </c>
      <c r="C116" s="270"/>
      <c r="D116" s="639"/>
      <c r="F116" s="463"/>
      <c r="G116" s="701"/>
      <c r="H116" s="701"/>
      <c r="I116" s="701"/>
      <c r="J116" s="207" t="n">
        <v>1.01</v>
      </c>
      <c r="K116" s="207" t="n">
        <v>1.01</v>
      </c>
      <c r="L116" s="207" t="n">
        <v>1.01</v>
      </c>
      <c r="M116" s="207" t="n">
        <v>1.01</v>
      </c>
      <c r="N116" s="207" t="n">
        <v>1.01</v>
      </c>
      <c r="O116" s="207" t="n">
        <v>1.01</v>
      </c>
      <c r="P116" s="207" t="n">
        <v>1.01</v>
      </c>
      <c r="Q116" s="207" t="n">
        <v>1.01</v>
      </c>
      <c r="R116" s="449"/>
    </row>
    <row r="117" customFormat="false" ht="12.75" hidden="false" customHeight="false" outlineLevel="0" collapsed="false">
      <c r="A117" s="25" t="s">
        <v>347</v>
      </c>
      <c r="C117" s="270"/>
      <c r="D117" s="639"/>
      <c r="F117" s="463"/>
      <c r="G117" s="701"/>
      <c r="H117" s="701"/>
      <c r="I117" s="701"/>
      <c r="J117" s="207" t="n">
        <v>1.01</v>
      </c>
      <c r="K117" s="207" t="n">
        <v>1.01</v>
      </c>
      <c r="L117" s="207" t="n">
        <v>1.01</v>
      </c>
      <c r="M117" s="207" t="n">
        <v>1.01</v>
      </c>
      <c r="N117" s="207" t="n">
        <v>1.01</v>
      </c>
      <c r="O117" s="207" t="n">
        <v>1.01</v>
      </c>
      <c r="P117" s="207" t="n">
        <v>1.01</v>
      </c>
      <c r="Q117" s="207" t="n">
        <v>1.01</v>
      </c>
      <c r="R117" s="449"/>
    </row>
    <row r="118" customFormat="false" ht="12.75" hidden="false" customHeight="false" outlineLevel="0" collapsed="false">
      <c r="A118" s="529"/>
      <c r="D118" s="706"/>
      <c r="E118" s="706"/>
      <c r="F118" s="706"/>
      <c r="G118" s="426"/>
      <c r="H118" s="426"/>
      <c r="I118" s="426"/>
      <c r="J118" s="426"/>
      <c r="K118" s="426"/>
      <c r="L118" s="426"/>
      <c r="M118" s="426"/>
      <c r="N118" s="426"/>
      <c r="O118" s="426"/>
      <c r="P118" s="426"/>
      <c r="Q118" s="426"/>
      <c r="R118" s="449"/>
    </row>
    <row r="119" customFormat="false" ht="12.75" hidden="false" customHeight="false" outlineLevel="0" collapsed="false">
      <c r="A119" s="511"/>
      <c r="R119" s="449"/>
    </row>
    <row r="120" customFormat="false" ht="12.75" hidden="false" customHeight="false" outlineLevel="0" collapsed="false">
      <c r="A120" s="511"/>
      <c r="R120" s="449"/>
    </row>
    <row r="121" customFormat="false" ht="15.75" hidden="false" customHeight="false" outlineLevel="0" collapsed="false">
      <c r="A121" s="497" t="s">
        <v>359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449"/>
    </row>
    <row r="122" customFormat="false" ht="12.75" hidden="false" customHeight="false" outlineLevel="0" collapsed="false">
      <c r="D122" s="505"/>
      <c r="E122" s="505"/>
      <c r="F122" s="295"/>
      <c r="G122" s="306" t="s">
        <v>192</v>
      </c>
      <c r="H122" s="307"/>
      <c r="I122" s="295"/>
      <c r="J122" s="295"/>
      <c r="K122" s="176"/>
      <c r="L122" s="295"/>
      <c r="M122" s="176"/>
      <c r="N122" s="176"/>
      <c r="O122" s="176"/>
      <c r="P122" s="176"/>
      <c r="Q122" s="103"/>
    </row>
    <row r="123" customFormat="false" ht="12.75" hidden="false" customHeight="false" outlineLevel="0" collapsed="false">
      <c r="D123" s="308" t="n">
        <v>1998</v>
      </c>
      <c r="E123" s="308" t="n">
        <v>1999</v>
      </c>
      <c r="F123" s="308" t="n">
        <v>2000</v>
      </c>
      <c r="G123" s="308" t="n">
        <v>2001</v>
      </c>
      <c r="H123" s="309" t="n">
        <v>2002</v>
      </c>
      <c r="I123" s="309" t="n">
        <v>2003</v>
      </c>
      <c r="J123" s="309" t="n">
        <v>2004</v>
      </c>
      <c r="K123" s="309" t="n">
        <v>2005</v>
      </c>
      <c r="L123" s="309" t="n">
        <v>2006</v>
      </c>
      <c r="M123" s="310" t="n">
        <v>2007</v>
      </c>
      <c r="N123" s="310" t="n">
        <v>2008</v>
      </c>
      <c r="O123" s="310" t="n">
        <v>2009</v>
      </c>
      <c r="P123" s="310" t="n">
        <v>2010</v>
      </c>
      <c r="Q123" s="441" t="n">
        <v>2011</v>
      </c>
    </row>
    <row r="124" customFormat="false" ht="12.75" hidden="false" customHeight="false" outlineLevel="0" collapsed="false">
      <c r="F124" s="704" t="s">
        <v>193</v>
      </c>
      <c r="G124" s="308" t="n">
        <v>1</v>
      </c>
      <c r="H124" s="309" t="n">
        <v>2</v>
      </c>
      <c r="I124" s="309" t="n">
        <v>3</v>
      </c>
      <c r="J124" s="309" t="n">
        <v>4</v>
      </c>
      <c r="K124" s="309" t="n">
        <v>5</v>
      </c>
      <c r="L124" s="309" t="n">
        <v>6</v>
      </c>
      <c r="M124" s="309" t="n">
        <v>7</v>
      </c>
      <c r="N124" s="309" t="n">
        <v>8</v>
      </c>
      <c r="O124" s="309" t="n">
        <v>9</v>
      </c>
      <c r="P124" s="309" t="n">
        <v>10</v>
      </c>
      <c r="Q124" s="387" t="n">
        <v>11</v>
      </c>
    </row>
    <row r="125" customFormat="false" ht="12.75" hidden="false" customHeight="false" outlineLevel="0" collapsed="false">
      <c r="A125" s="548" t="s">
        <v>283</v>
      </c>
      <c r="B125" s="160" t="n">
        <f aca="false">Assumptions!D22</f>
        <v>40</v>
      </c>
      <c r="C125" s="823" t="n">
        <f aca="false">Asset3PurPrice</f>
        <v>1940.65905550069</v>
      </c>
      <c r="D125" s="712"/>
      <c r="E125" s="712"/>
      <c r="F125" s="513"/>
      <c r="G125" s="508"/>
      <c r="H125" s="846" t="n">
        <f aca="false">1/B125</f>
        <v>0.025</v>
      </c>
      <c r="I125" s="847" t="n">
        <f aca="false">H125</f>
        <v>0.025</v>
      </c>
      <c r="J125" s="847" t="n">
        <f aca="false">I125</f>
        <v>0.025</v>
      </c>
      <c r="K125" s="847" t="n">
        <f aca="false">J125</f>
        <v>0.025</v>
      </c>
      <c r="L125" s="847" t="n">
        <f aca="false">K125</f>
        <v>0.025</v>
      </c>
      <c r="M125" s="847" t="n">
        <f aca="false">L125</f>
        <v>0.025</v>
      </c>
      <c r="N125" s="847" t="n">
        <f aca="false">M125</f>
        <v>0.025</v>
      </c>
      <c r="O125" s="847" t="n">
        <f aca="false">N125</f>
        <v>0.025</v>
      </c>
      <c r="P125" s="847" t="n">
        <f aca="false">O125</f>
        <v>0.025</v>
      </c>
      <c r="Q125" s="847" t="n">
        <f aca="false">P125</f>
        <v>0.025</v>
      </c>
      <c r="R125" s="848" t="n">
        <f aca="false">Q125</f>
        <v>0.025</v>
      </c>
    </row>
    <row r="126" customFormat="false" ht="12.75" hidden="false" customHeight="false" outlineLevel="0" collapsed="false">
      <c r="A126" s="95" t="s">
        <v>284</v>
      </c>
      <c r="C126" s="711"/>
      <c r="D126" s="712"/>
      <c r="E126" s="712"/>
      <c r="F126" s="513"/>
      <c r="G126" s="508"/>
      <c r="H126" s="443" t="n">
        <f aca="false">C125/B125</f>
        <v>48.5164763875172</v>
      </c>
      <c r="I126" s="443" t="n">
        <f aca="false">+H126</f>
        <v>48.5164763875172</v>
      </c>
      <c r="J126" s="443" t="n">
        <f aca="false">+I126</f>
        <v>48.5164763875172</v>
      </c>
      <c r="K126" s="443" t="n">
        <f aca="false">+J126</f>
        <v>48.5164763875172</v>
      </c>
      <c r="L126" s="443" t="n">
        <f aca="false">+K126</f>
        <v>48.5164763875172</v>
      </c>
      <c r="M126" s="443" t="n">
        <f aca="false">+L126</f>
        <v>48.5164763875172</v>
      </c>
      <c r="N126" s="443" t="n">
        <f aca="false">+M126</f>
        <v>48.5164763875172</v>
      </c>
      <c r="O126" s="443" t="n">
        <f aca="false">+N126</f>
        <v>48.5164763875172</v>
      </c>
      <c r="P126" s="443" t="n">
        <f aca="false">+O126</f>
        <v>48.5164763875172</v>
      </c>
      <c r="Q126" s="443" t="n">
        <f aca="false">+P126</f>
        <v>48.5164763875172</v>
      </c>
      <c r="R126" s="443" t="n">
        <f aca="false">+Q126</f>
        <v>48.5164763875172</v>
      </c>
    </row>
    <row r="127" customFormat="false" ht="12.75" hidden="false" customHeight="false" outlineLevel="0" collapsed="false">
      <c r="A127" s="95" t="s">
        <v>285</v>
      </c>
      <c r="D127" s="713"/>
      <c r="E127" s="713"/>
      <c r="F127" s="520"/>
      <c r="G127" s="508"/>
      <c r="H127" s="714" t="n">
        <f aca="false">($G$33*H125)</f>
        <v>8.875</v>
      </c>
      <c r="I127" s="714" t="n">
        <f aca="false">($G$33*I125)+($H$33*H125)</f>
        <v>19.375</v>
      </c>
      <c r="J127" s="714" t="n">
        <f aca="false">($G$33*J125)+($H$33*I125)+($I$33*H125)</f>
        <v>31.875</v>
      </c>
      <c r="K127" s="714" t="n">
        <f aca="false">($G$33*K125)+($H$33*J125)+($I$33*I125)+($J$33*H125)</f>
        <v>44.6825</v>
      </c>
      <c r="L127" s="714" t="n">
        <f aca="false">($G$33*L125)+($H$33*K125)+($I$33*J125)+($J$33*I125)+($K$33*H125)</f>
        <v>57.80545</v>
      </c>
      <c r="M127" s="714" t="n">
        <f aca="false">($G$33*M125)+($H$33*L125)+($I$33*K125)+($J$33*J125)+($K$33*I125)+($L$33*H125)</f>
        <v>71.25201375</v>
      </c>
      <c r="N127" s="714" t="n">
        <f aca="false">($G$33*N125)+($H$33*M125)+($I$33*L125)+($J$33*K125)+($K$33*J125)+($L$33*I125)+($M$33*H125)</f>
        <v>85.030574675</v>
      </c>
      <c r="O127" s="714" t="n">
        <f aca="false">($G$33*O125)+($H$33*N125)+($I$33*M125)+($J$33*L125)+($K$33*K125)+($L$33*J125)+($M$33*I125)+($N$33*H125)</f>
        <v>99.149741968075</v>
      </c>
      <c r="P127" s="714" t="n">
        <f aca="false">($G$33*P125)+($H$33*O125)+($I$33*N125)+($J$33*M125)+($K$33*L125)+($L$33*K125)+($M$33*J125)+($N$33*I125)+($O$33*H125)</f>
        <v>113.618356856375</v>
      </c>
      <c r="Q127" s="714" t="n">
        <f aca="false">($G$33*Q125)+($H$33*P125)+($I$33*O125)+($J$33*N125)+($K$33*M125)+($L$33*L125)+($M$33*K125)+($N$33*J125)+($O$33*I125)+($P$33*H125)</f>
        <v>128.445499045038</v>
      </c>
      <c r="R127" s="714" t="n">
        <f aca="false">($G$33*R125)+($H$33*Q125)+($I$33*P125)+($J$33*O125)+($K$33*N125)+($L$33*M125)+($M$33*L125)+($N$33*K125)+($O$33*J125)+($P$33*I125)+($Q$33*H125)</f>
        <v>143.640493344161</v>
      </c>
    </row>
    <row r="128" customFormat="false" ht="12.75" hidden="false" customHeight="false" outlineLevel="0" collapsed="false">
      <c r="A128" s="529" t="s">
        <v>362</v>
      </c>
      <c r="D128" s="712"/>
      <c r="E128" s="712"/>
      <c r="F128" s="513"/>
      <c r="G128" s="508"/>
      <c r="H128" s="426" t="n">
        <f aca="false">SUM(H126:H127)</f>
        <v>57.3914763875172</v>
      </c>
      <c r="I128" s="426" t="n">
        <f aca="false">SUM(I126:I127)</f>
        <v>67.8914763875172</v>
      </c>
      <c r="J128" s="426" t="n">
        <f aca="false">SUM(J126:J127)</f>
        <v>80.3914763875172</v>
      </c>
      <c r="K128" s="426" t="n">
        <f aca="false">SUM(K126:K127)</f>
        <v>93.1989763875172</v>
      </c>
      <c r="L128" s="426" t="n">
        <f aca="false">SUM(L126:L127)</f>
        <v>106.321926387517</v>
      </c>
      <c r="M128" s="426" t="n">
        <f aca="false">SUM(M126:M127)</f>
        <v>119.768490137517</v>
      </c>
      <c r="N128" s="426" t="n">
        <f aca="false">SUM(N126:N127)</f>
        <v>133.547051062517</v>
      </c>
      <c r="O128" s="426" t="n">
        <f aca="false">SUM(O126:O127)</f>
        <v>147.666218355592</v>
      </c>
      <c r="P128" s="426" t="n">
        <f aca="false">SUM(P126:P127)</f>
        <v>162.134833243892</v>
      </c>
      <c r="Q128" s="426" t="n">
        <f aca="false">SUM(Q126:Q127)</f>
        <v>176.961975432555</v>
      </c>
      <c r="R128" s="426" t="n">
        <f aca="false">SUM(R126:R127)</f>
        <v>192.156969731678</v>
      </c>
    </row>
    <row r="129" customFormat="false" ht="12.75" hidden="false" customHeight="false" outlineLevel="0" collapsed="false">
      <c r="A129" s="95"/>
      <c r="D129" s="712"/>
      <c r="E129" s="712"/>
      <c r="F129" s="513"/>
      <c r="G129" s="513"/>
      <c r="H129" s="95"/>
      <c r="I129" s="95"/>
      <c r="J129" s="95"/>
      <c r="K129" s="95"/>
      <c r="L129" s="95"/>
      <c r="M129" s="95"/>
      <c r="N129" s="95"/>
      <c r="O129" s="95"/>
      <c r="P129" s="95"/>
      <c r="Q129" s="95"/>
    </row>
    <row r="130" customFormat="false" ht="12.75" hidden="false" customHeight="false" outlineLevel="0" collapsed="false">
      <c r="A130" s="541" t="s">
        <v>286</v>
      </c>
      <c r="D130" s="712"/>
      <c r="E130" s="712"/>
      <c r="F130" s="513"/>
      <c r="G130" s="508"/>
      <c r="H130" s="555" t="n">
        <v>0.05</v>
      </c>
      <c r="I130" s="556" t="n">
        <v>0.095</v>
      </c>
      <c r="J130" s="556" t="n">
        <v>0.0855</v>
      </c>
      <c r="K130" s="556" t="n">
        <v>0.077</v>
      </c>
      <c r="L130" s="556" t="n">
        <v>0.0693</v>
      </c>
      <c r="M130" s="556" t="n">
        <v>0.0623</v>
      </c>
      <c r="N130" s="556" t="n">
        <v>0.059</v>
      </c>
      <c r="O130" s="556" t="n">
        <v>0.059</v>
      </c>
      <c r="P130" s="556" t="n">
        <v>0.0591</v>
      </c>
      <c r="Q130" s="556" t="n">
        <v>0.059</v>
      </c>
      <c r="R130" s="557" t="n">
        <v>0.0591</v>
      </c>
    </row>
    <row r="131" customFormat="false" ht="12.75" hidden="false" customHeight="false" outlineLevel="0" collapsed="false">
      <c r="A131" s="95" t="s">
        <v>284</v>
      </c>
      <c r="B131" s="558"/>
      <c r="D131" s="712"/>
      <c r="E131" s="712"/>
      <c r="F131" s="513"/>
      <c r="G131" s="508"/>
      <c r="H131" s="95" t="n">
        <f aca="false">H130*$C$125</f>
        <v>97.0329527750344</v>
      </c>
      <c r="I131" s="95" t="n">
        <f aca="false">I130*$C$125</f>
        <v>184.362610272565</v>
      </c>
      <c r="J131" s="95" t="n">
        <f aca="false">J130*$C$125</f>
        <v>165.926349245309</v>
      </c>
      <c r="K131" s="95" t="n">
        <f aca="false">K130*$C$125</f>
        <v>149.430747273553</v>
      </c>
      <c r="L131" s="95" t="n">
        <f aca="false">L130*$C$125</f>
        <v>134.487672546198</v>
      </c>
      <c r="M131" s="95" t="n">
        <f aca="false">M130*$C$125</f>
        <v>120.903059157693</v>
      </c>
      <c r="N131" s="95" t="n">
        <f aca="false">N130*$C$125</f>
        <v>114.498884274541</v>
      </c>
      <c r="O131" s="95" t="n">
        <f aca="false">O130*$C$125</f>
        <v>114.498884274541</v>
      </c>
      <c r="P131" s="95" t="n">
        <f aca="false">P130*$C$125</f>
        <v>114.692950180091</v>
      </c>
      <c r="Q131" s="95" t="n">
        <f aca="false">Q130*$C$125</f>
        <v>114.498884274541</v>
      </c>
      <c r="R131" s="95" t="n">
        <f aca="false">R130*$C$125</f>
        <v>114.692950180091</v>
      </c>
    </row>
    <row r="132" customFormat="false" ht="15" hidden="false" customHeight="false" outlineLevel="0" collapsed="false">
      <c r="A132" s="95" t="s">
        <v>285</v>
      </c>
      <c r="B132" s="530"/>
      <c r="D132" s="720"/>
      <c r="E132" s="720"/>
      <c r="F132" s="513"/>
      <c r="G132" s="508"/>
      <c r="H132" s="446" t="n">
        <f aca="false">($G$33*H$130)</f>
        <v>17.75</v>
      </c>
      <c r="I132" s="446" t="n">
        <f aca="false">($G$33*I130)+($H$33*H130)</f>
        <v>54.725</v>
      </c>
      <c r="J132" s="446" t="n">
        <f aca="false">($G$33*J130)+($H$33*I130)+($I$33*H130)</f>
        <v>95.2525</v>
      </c>
      <c r="K132" s="446" t="n">
        <f aca="false">($G$33*K130)+($H$33*J130)+($I$33*I130)+($J$33*H130)</f>
        <v>136.36</v>
      </c>
      <c r="L132" s="446" t="n">
        <f aca="false">($G$33*L130)+($H$33*K130)+($I$33*J130)+($J$33*I130)+($K$33*H130)</f>
        <v>174.6059</v>
      </c>
      <c r="M132" s="446" t="n">
        <f aca="false">($G$33*M130)+($H$33*L130)+($I$33*K130)+($J$33*J130)+($K$33*I130)+($L$33*H130)</f>
        <v>210.2844875</v>
      </c>
      <c r="N132" s="446" t="n">
        <f aca="false">($G$33*N130)+($H$33*M130)+($I$33*L130)+($J$33*K130)+($K$33*J130)+($L$33*I130)+($M$33*H130)</f>
        <v>244.7426531</v>
      </c>
      <c r="O132" s="446" t="n">
        <f aca="false">($G$33*O130)+($H$33*N130)+($I$33*M130)+($J$33*L130)+($K$33*K130)+($L$33*J130)+($M$33*I130)+($N$33*H130)</f>
        <v>279.38019012615</v>
      </c>
      <c r="P132" s="446" t="n">
        <f aca="false">($G$33*P130)+($H$33*O130)+($I$33*N130)+($J$33*M130)+($K$33*L130)+($L$33*K130)+($M$33*J130)+($N$33*I130)+($O$33*H130)</f>
        <v>314.681767603784</v>
      </c>
      <c r="Q132" s="446" t="n">
        <f aca="false">($G$33*Q130)+($H$33*P130)+($I$33*O130)+($J$33*N130)+($K$33*M130)+($L$33*L130)+($M$33*K130)+($N$33*J130)+($O$33*I130)+($P$33*H130)</f>
        <v>350.829506859181</v>
      </c>
      <c r="R132" s="446" t="n">
        <f aca="false">($G$33*R130)+($H$33*Q130)+($I$33*P130)+($J$33*O130)+($K$33*N130)+($L$33*M130)+($M$33*L130)+($N$33*K130)+($O$33*J130)+($P$33*I130)+($Q$33*H130)</f>
        <v>387.912196844922</v>
      </c>
    </row>
    <row r="133" customFormat="false" ht="12.75" hidden="false" customHeight="false" outlineLevel="0" collapsed="false">
      <c r="A133" s="529" t="s">
        <v>365</v>
      </c>
      <c r="D133" s="712"/>
      <c r="E133" s="712"/>
      <c r="F133" s="513"/>
      <c r="G133" s="508"/>
      <c r="H133" s="95" t="n">
        <f aca="false">SUM(H131:H132)</f>
        <v>114.782952775034</v>
      </c>
      <c r="I133" s="95" t="n">
        <f aca="false">SUM(I131:I132)</f>
        <v>239.087610272565</v>
      </c>
      <c r="J133" s="95" t="n">
        <f aca="false">SUM(J131:J132)</f>
        <v>261.178849245309</v>
      </c>
      <c r="K133" s="95" t="n">
        <f aca="false">SUM(K131:K132)</f>
        <v>285.790747273553</v>
      </c>
      <c r="L133" s="95" t="n">
        <f aca="false">SUM(L131:L132)</f>
        <v>309.093572546198</v>
      </c>
      <c r="M133" s="95" t="n">
        <f aca="false">SUM(M131:M132)</f>
        <v>331.187546657693</v>
      </c>
      <c r="N133" s="95" t="n">
        <f aca="false">SUM(N131:N132)</f>
        <v>359.241537374541</v>
      </c>
      <c r="O133" s="95" t="n">
        <f aca="false">SUM(O131:O132)</f>
        <v>393.879074400691</v>
      </c>
      <c r="P133" s="95" t="n">
        <f aca="false">SUM(P131:P132)</f>
        <v>429.374717783875</v>
      </c>
      <c r="Q133" s="95" t="n">
        <f aca="false">SUM(Q131:Q132)</f>
        <v>465.328391133722</v>
      </c>
      <c r="R133" s="95" t="n">
        <f aca="false">SUM(R131:R132)</f>
        <v>502.605147025012</v>
      </c>
    </row>
  </sheetData>
  <mergeCells count="1">
    <mergeCell ref="K40:M40"/>
  </mergeCells>
  <conditionalFormatting sqref="C11">
    <cfRule type="cellIs" priority="2" operator="notBetween" aboveAverage="0" equalAverage="0" bottom="0" percent="0" rank="0" text="" dxfId="4">
      <formula>0.25</formula>
      <formula>-0.25</formula>
    </cfRule>
  </conditionalFormatting>
  <printOptions headings="false" gridLines="false" gridLinesSet="true" horizontalCentered="false" verticalCentered="false"/>
  <pageMargins left="0.309722222222222" right="0.170138888888889" top="0.620138888888889" bottom="0.3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45" man="true" max="16383" min="0"/>
  </rowBreak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.85"/>
    <col collapsed="false" customWidth="true" hidden="false" outlineLevel="0" max="2" min="2" style="0" width="18.99"/>
    <col collapsed="false" customWidth="true" hidden="false" outlineLevel="0" max="3" min="3" style="0" width="13.7"/>
  </cols>
  <sheetData>
    <row r="1" customFormat="false" ht="18" hidden="false" customHeight="false" outlineLevel="0" collapsed="false">
      <c r="A1" s="785" t="str">
        <f aca="false">Assumptions!D7</f>
        <v>Wolverine</v>
      </c>
      <c r="B1" s="786"/>
      <c r="C1" s="10"/>
      <c r="D1" s="10"/>
      <c r="E1" s="12"/>
    </row>
    <row r="2" customFormat="false" ht="15.75" hidden="false" customHeight="false" outlineLevel="0" collapsed="false">
      <c r="A2" s="850" t="s">
        <v>499</v>
      </c>
      <c r="B2" s="851"/>
      <c r="C2" s="17"/>
      <c r="D2" s="17"/>
      <c r="E2" s="19"/>
    </row>
    <row r="3" customFormat="false" ht="16.5" hidden="false" customHeight="false" outlineLevel="0" collapsed="false">
      <c r="A3" s="59" t="s">
        <v>544</v>
      </c>
      <c r="B3" s="28"/>
      <c r="C3" s="28"/>
      <c r="D3" s="28"/>
      <c r="E3" s="30"/>
    </row>
    <row r="4" customFormat="false" ht="12.75" hidden="true" customHeight="false" outlineLevel="1" collapsed="false">
      <c r="C4" s="295"/>
      <c r="D4" s="306" t="s">
        <v>192</v>
      </c>
      <c r="E4" s="307"/>
      <c r="F4" s="295"/>
      <c r="G4" s="295"/>
      <c r="H4" s="176"/>
      <c r="I4" s="295"/>
      <c r="J4" s="176"/>
      <c r="K4" s="176"/>
      <c r="L4" s="176"/>
      <c r="M4" s="176"/>
      <c r="N4" s="103"/>
    </row>
    <row r="5" customFormat="false" ht="12.75" hidden="true" customHeight="false" outlineLevel="1" collapsed="false">
      <c r="C5" s="308"/>
      <c r="D5" s="308" t="n">
        <v>2001</v>
      </c>
      <c r="E5" s="309" t="n">
        <v>2002</v>
      </c>
      <c r="F5" s="309" t="n">
        <v>2003</v>
      </c>
      <c r="G5" s="309" t="n">
        <v>2004</v>
      </c>
      <c r="H5" s="309" t="n">
        <v>2005</v>
      </c>
      <c r="I5" s="309" t="n">
        <v>2006</v>
      </c>
      <c r="J5" s="310" t="n">
        <v>2007</v>
      </c>
      <c r="K5" s="310" t="n">
        <v>2008</v>
      </c>
      <c r="L5" s="310" t="n">
        <v>2009</v>
      </c>
      <c r="M5" s="310" t="n">
        <v>2010</v>
      </c>
      <c r="N5" s="441" t="n">
        <v>2011</v>
      </c>
    </row>
    <row r="6" customFormat="false" ht="12.75" hidden="true" customHeight="false" outlineLevel="1" collapsed="false">
      <c r="C6" s="704" t="s">
        <v>193</v>
      </c>
      <c r="D6" s="308" t="n">
        <v>1</v>
      </c>
      <c r="E6" s="309" t="n">
        <v>2</v>
      </c>
      <c r="F6" s="309" t="n">
        <v>3</v>
      </c>
      <c r="G6" s="309" t="n">
        <v>4</v>
      </c>
      <c r="H6" s="309" t="n">
        <v>5</v>
      </c>
      <c r="I6" s="309" t="n">
        <v>6</v>
      </c>
      <c r="J6" s="309" t="n">
        <v>7</v>
      </c>
      <c r="K6" s="309" t="n">
        <v>8</v>
      </c>
      <c r="L6" s="309" t="n">
        <v>9</v>
      </c>
      <c r="M6" s="309" t="n">
        <v>10</v>
      </c>
      <c r="N6" s="387" t="n">
        <v>11</v>
      </c>
    </row>
    <row r="7" customFormat="false" ht="12.75" hidden="true" customHeight="false" outlineLevel="1" collapsed="false">
      <c r="C7" s="704"/>
      <c r="D7" s="392"/>
      <c r="E7" s="393"/>
      <c r="F7" s="393"/>
      <c r="G7" s="393"/>
      <c r="H7" s="393"/>
      <c r="I7" s="393"/>
      <c r="J7" s="393"/>
      <c r="K7" s="393"/>
      <c r="L7" s="393"/>
      <c r="M7" s="393"/>
      <c r="N7" s="404"/>
    </row>
    <row r="8" customFormat="false" ht="18" hidden="true" customHeight="false" outlineLevel="1" collapsed="false">
      <c r="A8" s="31" t="s">
        <v>545</v>
      </c>
      <c r="C8" s="704"/>
      <c r="D8" s="392"/>
      <c r="E8" s="393"/>
      <c r="F8" s="393"/>
      <c r="G8" s="393"/>
      <c r="H8" s="393"/>
      <c r="I8" s="393"/>
      <c r="J8" s="393"/>
      <c r="K8" s="393"/>
      <c r="L8" s="393"/>
      <c r="M8" s="393"/>
      <c r="N8" s="404"/>
    </row>
    <row r="9" customFormat="false" ht="12.75" hidden="true" customHeight="false" outlineLevel="1" collapsed="false">
      <c r="C9" s="704"/>
      <c r="D9" s="392"/>
      <c r="E9" s="393"/>
      <c r="F9" s="393"/>
      <c r="G9" s="393"/>
      <c r="H9" s="393"/>
      <c r="I9" s="393"/>
      <c r="J9" s="393"/>
      <c r="K9" s="393"/>
      <c r="L9" s="393"/>
      <c r="M9" s="393"/>
      <c r="N9" s="404"/>
    </row>
    <row r="10" customFormat="false" ht="18" hidden="true" customHeight="false" outlineLevel="1" collapsed="false">
      <c r="A10" s="31" t="s">
        <v>546</v>
      </c>
      <c r="C10" s="704"/>
      <c r="D10" s="392"/>
      <c r="E10" s="393"/>
      <c r="F10" s="393"/>
      <c r="G10" s="393"/>
      <c r="H10" s="393"/>
      <c r="I10" s="393"/>
      <c r="J10" s="393"/>
      <c r="K10" s="393"/>
      <c r="L10" s="393"/>
      <c r="M10" s="393"/>
      <c r="N10" s="404"/>
    </row>
    <row r="11" customFormat="false" ht="12.75" hidden="true" customHeight="false" outlineLevel="1" collapsed="false">
      <c r="C11" s="704"/>
      <c r="D11" s="392"/>
      <c r="E11" s="393"/>
      <c r="F11" s="393"/>
      <c r="G11" s="393"/>
      <c r="H11" s="393"/>
      <c r="I11" s="393"/>
      <c r="J11" s="393"/>
      <c r="K11" s="393"/>
      <c r="L11" s="393"/>
      <c r="M11" s="393"/>
      <c r="N11" s="404"/>
    </row>
    <row r="12" customFormat="false" ht="18" hidden="false" customHeight="false" outlineLevel="0" collapsed="false">
      <c r="A12" s="31" t="s">
        <v>547</v>
      </c>
      <c r="C12" s="704"/>
      <c r="D12" s="392"/>
      <c r="E12" s="393"/>
      <c r="F12" s="393"/>
      <c r="G12" s="393"/>
      <c r="H12" s="393"/>
      <c r="I12" s="393"/>
      <c r="J12" s="393"/>
      <c r="K12" s="393"/>
      <c r="L12" s="393"/>
      <c r="M12" s="393"/>
      <c r="N12" s="404"/>
    </row>
    <row r="13" customFormat="false" ht="12.75" hidden="false" customHeight="true" outlineLevel="0" collapsed="false">
      <c r="A13" s="31"/>
      <c r="C13" s="295"/>
      <c r="D13" s="306" t="s">
        <v>192</v>
      </c>
      <c r="E13" s="307"/>
      <c r="F13" s="295"/>
      <c r="G13" s="295"/>
      <c r="H13" s="176"/>
      <c r="I13" s="295"/>
      <c r="J13" s="176"/>
      <c r="K13" s="176"/>
      <c r="L13" s="176"/>
      <c r="M13" s="176"/>
      <c r="N13" s="103"/>
    </row>
    <row r="14" customFormat="false" ht="12.75" hidden="false" customHeight="true" outlineLevel="0" collapsed="false">
      <c r="A14" s="31"/>
      <c r="C14" s="308"/>
      <c r="D14" s="308" t="n">
        <v>2001</v>
      </c>
      <c r="E14" s="309" t="n">
        <v>2002</v>
      </c>
      <c r="F14" s="309" t="n">
        <v>2003</v>
      </c>
      <c r="G14" s="309" t="n">
        <v>2004</v>
      </c>
      <c r="H14" s="309" t="n">
        <v>2005</v>
      </c>
      <c r="I14" s="309" t="n">
        <v>2006</v>
      </c>
      <c r="J14" s="310" t="n">
        <v>2007</v>
      </c>
      <c r="K14" s="310" t="n">
        <v>2008</v>
      </c>
      <c r="L14" s="310" t="n">
        <v>2009</v>
      </c>
      <c r="M14" s="310" t="n">
        <v>2010</v>
      </c>
      <c r="N14" s="441" t="n">
        <v>2011</v>
      </c>
    </row>
    <row r="15" customFormat="false" ht="12.75" hidden="false" customHeight="true" outlineLevel="0" collapsed="false">
      <c r="A15" s="31"/>
      <c r="C15" s="704" t="s">
        <v>193</v>
      </c>
      <c r="D15" s="308" t="n">
        <v>1</v>
      </c>
      <c r="E15" s="309" t="n">
        <v>2</v>
      </c>
      <c r="F15" s="309" t="n">
        <v>3</v>
      </c>
      <c r="G15" s="309" t="n">
        <v>4</v>
      </c>
      <c r="H15" s="309" t="n">
        <v>5</v>
      </c>
      <c r="I15" s="309" t="n">
        <v>6</v>
      </c>
      <c r="J15" s="309" t="n">
        <v>7</v>
      </c>
      <c r="K15" s="309" t="n">
        <v>8</v>
      </c>
      <c r="L15" s="309" t="n">
        <v>9</v>
      </c>
      <c r="M15" s="309" t="n">
        <v>10</v>
      </c>
      <c r="N15" s="387" t="n">
        <v>11</v>
      </c>
    </row>
    <row r="16" customFormat="false" ht="15.75" hidden="false" customHeight="false" outlineLevel="0" collapsed="false">
      <c r="A16" s="497" t="s">
        <v>548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customFormat="false" ht="12.75" hidden="false" customHeight="false" outlineLevel="0" collapsed="false">
      <c r="A17" s="73"/>
      <c r="B17" s="74" t="s">
        <v>504</v>
      </c>
      <c r="C17" s="74"/>
      <c r="D17" s="852" t="n">
        <v>1.02</v>
      </c>
      <c r="E17" s="852" t="n">
        <v>1.02</v>
      </c>
      <c r="F17" s="852" t="n">
        <v>1.02</v>
      </c>
      <c r="G17" s="852" t="n">
        <v>1.02</v>
      </c>
      <c r="H17" s="852" t="n">
        <v>1.02</v>
      </c>
      <c r="I17" s="852" t="n">
        <v>1.02</v>
      </c>
      <c r="J17" s="852" t="n">
        <v>1.02</v>
      </c>
      <c r="K17" s="852" t="n">
        <v>1.02</v>
      </c>
      <c r="L17" s="852" t="n">
        <v>1.02</v>
      </c>
      <c r="M17" s="852" t="n">
        <v>1.02</v>
      </c>
      <c r="N17" s="853" t="n">
        <v>1.02</v>
      </c>
    </row>
    <row r="18" customFormat="false" ht="12.75" hidden="false" customHeight="false" outlineLevel="0" collapsed="false">
      <c r="A18" s="18"/>
      <c r="B18" s="17" t="s">
        <v>505</v>
      </c>
      <c r="C18" s="17"/>
      <c r="D18" s="207" t="n">
        <v>1.03</v>
      </c>
      <c r="E18" s="207" t="n">
        <v>1.03</v>
      </c>
      <c r="F18" s="207" t="n">
        <v>1.03</v>
      </c>
      <c r="G18" s="207" t="n">
        <v>1.04</v>
      </c>
      <c r="H18" s="207" t="n">
        <v>1.05</v>
      </c>
      <c r="I18" s="207" t="n">
        <v>1.05</v>
      </c>
      <c r="J18" s="207" t="n">
        <v>1.05</v>
      </c>
      <c r="K18" s="207" t="n">
        <v>1.05</v>
      </c>
      <c r="L18" s="207" t="n">
        <v>1.05</v>
      </c>
      <c r="M18" s="207" t="n">
        <v>1.03</v>
      </c>
      <c r="N18" s="854" t="n">
        <v>1.03</v>
      </c>
    </row>
    <row r="19" customFormat="false" ht="12.75" hidden="false" customHeight="false" outlineLevel="0" collapsed="false">
      <c r="A19" s="18"/>
      <c r="B19" s="17" t="s">
        <v>507</v>
      </c>
      <c r="C19" s="17"/>
      <c r="D19" s="207" t="s">
        <v>149</v>
      </c>
      <c r="E19" s="207" t="s">
        <v>149</v>
      </c>
      <c r="F19" s="207" t="n">
        <v>1.01</v>
      </c>
      <c r="G19" s="207" t="n">
        <v>1.01</v>
      </c>
      <c r="H19" s="207" t="n">
        <v>1.01</v>
      </c>
      <c r="I19" s="207" t="n">
        <v>1.01</v>
      </c>
      <c r="J19" s="207" t="n">
        <v>1.01</v>
      </c>
      <c r="K19" s="207" t="n">
        <v>1.01</v>
      </c>
      <c r="L19" s="207" t="n">
        <v>1.01</v>
      </c>
      <c r="M19" s="207" t="n">
        <v>1.01</v>
      </c>
      <c r="N19" s="854" t="n">
        <v>1.01</v>
      </c>
    </row>
    <row r="20" customFormat="false" ht="12.75" hidden="false" customHeight="false" outlineLevel="0" collapsed="false">
      <c r="A20" s="18"/>
      <c r="B20" s="17" t="s">
        <v>508</v>
      </c>
      <c r="C20" s="17"/>
      <c r="D20" s="207" t="s">
        <v>149</v>
      </c>
      <c r="E20" s="207" t="s">
        <v>149</v>
      </c>
      <c r="F20" s="207" t="s">
        <v>149</v>
      </c>
      <c r="G20" s="207" t="n">
        <v>1.01</v>
      </c>
      <c r="H20" s="207" t="n">
        <v>1.01</v>
      </c>
      <c r="I20" s="207" t="n">
        <v>1.01</v>
      </c>
      <c r="J20" s="207" t="n">
        <v>1.01</v>
      </c>
      <c r="K20" s="207" t="n">
        <v>1.01</v>
      </c>
      <c r="L20" s="207" t="n">
        <v>1.01</v>
      </c>
      <c r="M20" s="207" t="n">
        <v>1.01</v>
      </c>
      <c r="N20" s="854" t="n">
        <v>1.01</v>
      </c>
    </row>
    <row r="21" customFormat="false" ht="12.75" hidden="false" customHeight="false" outlineLevel="0" collapsed="false">
      <c r="A21" s="18"/>
      <c r="B21" s="17" t="s">
        <v>509</v>
      </c>
      <c r="C21" s="17"/>
      <c r="D21" s="207" t="n">
        <v>1</v>
      </c>
      <c r="E21" s="207" t="n">
        <v>1</v>
      </c>
      <c r="F21" s="207" t="n">
        <v>1</v>
      </c>
      <c r="G21" s="207" t="n">
        <v>1</v>
      </c>
      <c r="H21" s="207" t="n">
        <v>1</v>
      </c>
      <c r="I21" s="207" t="n">
        <v>1</v>
      </c>
      <c r="J21" s="207" t="n">
        <v>1</v>
      </c>
      <c r="K21" s="207" t="n">
        <v>1</v>
      </c>
      <c r="L21" s="207" t="n">
        <v>1</v>
      </c>
      <c r="M21" s="207" t="n">
        <v>1</v>
      </c>
      <c r="N21" s="854" t="n">
        <v>1</v>
      </c>
    </row>
    <row r="22" customFormat="false" ht="12.75" hidden="false" customHeight="false" outlineLevel="0" collapsed="false">
      <c r="A22" s="93"/>
      <c r="B22" s="103" t="s">
        <v>511</v>
      </c>
      <c r="C22" s="103"/>
      <c r="D22" s="219" t="n">
        <v>1.05</v>
      </c>
      <c r="E22" s="219" t="n">
        <v>1.05</v>
      </c>
      <c r="F22" s="219" t="n">
        <v>1.05</v>
      </c>
      <c r="G22" s="219" t="n">
        <v>1.05</v>
      </c>
      <c r="H22" s="219" t="n">
        <v>1.05</v>
      </c>
      <c r="I22" s="219" t="n">
        <v>1.05</v>
      </c>
      <c r="J22" s="219" t="n">
        <v>1.03</v>
      </c>
      <c r="K22" s="219" t="n">
        <v>1.03</v>
      </c>
      <c r="L22" s="219" t="n">
        <v>1.03</v>
      </c>
      <c r="M22" s="219" t="n">
        <v>1.03</v>
      </c>
      <c r="N22" s="219" t="n">
        <v>1.03</v>
      </c>
    </row>
    <row r="24" customFormat="false" ht="15.75" hidden="false" customHeight="false" outlineLevel="0" collapsed="false">
      <c r="A24" s="497" t="s">
        <v>549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</row>
    <row r="25" customFormat="false" ht="15.75" hidden="false" customHeight="false" outlineLevel="0" collapsed="false">
      <c r="A25" s="855"/>
      <c r="B25" s="856" t="s">
        <v>507</v>
      </c>
      <c r="C25" s="856"/>
      <c r="D25" s="852" t="n">
        <v>1</v>
      </c>
      <c r="E25" s="852" t="n">
        <v>1</v>
      </c>
      <c r="F25" s="852" t="n">
        <v>1</v>
      </c>
      <c r="G25" s="852" t="n">
        <v>1</v>
      </c>
      <c r="H25" s="852" t="n">
        <v>1</v>
      </c>
      <c r="I25" s="852" t="n">
        <v>1</v>
      </c>
      <c r="J25" s="852" t="n">
        <v>1</v>
      </c>
      <c r="K25" s="852" t="n">
        <v>1</v>
      </c>
      <c r="L25" s="852" t="n">
        <v>1</v>
      </c>
      <c r="M25" s="852" t="n">
        <v>1</v>
      </c>
      <c r="N25" s="853" t="n">
        <v>1</v>
      </c>
    </row>
    <row r="26" customFormat="false" ht="12.75" hidden="false" customHeight="false" outlineLevel="0" collapsed="false">
      <c r="A26" s="93"/>
      <c r="B26" s="505" t="s">
        <v>508</v>
      </c>
      <c r="C26" s="103"/>
      <c r="D26" s="219" t="n">
        <v>1</v>
      </c>
      <c r="E26" s="219" t="n">
        <v>1</v>
      </c>
      <c r="F26" s="219" t="n">
        <v>1</v>
      </c>
      <c r="G26" s="219" t="n">
        <v>1</v>
      </c>
      <c r="H26" s="219" t="n">
        <v>1</v>
      </c>
      <c r="I26" s="219" t="n">
        <v>1</v>
      </c>
      <c r="J26" s="219" t="n">
        <v>1</v>
      </c>
      <c r="K26" s="219" t="n">
        <v>1</v>
      </c>
      <c r="L26" s="219" t="n">
        <v>1</v>
      </c>
      <c r="M26" s="219" t="n">
        <v>1</v>
      </c>
      <c r="N26" s="857" t="n">
        <v>1</v>
      </c>
    </row>
    <row r="28" customFormat="false" ht="15.75" hidden="false" customHeight="false" outlineLevel="0" collapsed="false">
      <c r="A28" s="497" t="s">
        <v>550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customFormat="false" ht="12.75" hidden="false" customHeight="false" outlineLevel="0" collapsed="false">
      <c r="A29" s="73"/>
      <c r="B29" s="74" t="s">
        <v>551</v>
      </c>
      <c r="C29" s="74"/>
      <c r="D29" s="858" t="n">
        <v>0.28</v>
      </c>
      <c r="E29" s="858" t="n">
        <v>0.32</v>
      </c>
      <c r="F29" s="858" t="n">
        <v>0.32</v>
      </c>
      <c r="G29" s="858" t="n">
        <v>0.32</v>
      </c>
      <c r="H29" s="858" t="n">
        <v>0.28</v>
      </c>
      <c r="I29" s="858" t="n">
        <v>0.28</v>
      </c>
      <c r="J29" s="858" t="n">
        <v>0.28</v>
      </c>
      <c r="K29" s="858" t="n">
        <v>0.27</v>
      </c>
      <c r="L29" s="858" t="n">
        <v>0.27</v>
      </c>
      <c r="M29" s="858" t="n">
        <v>0.27</v>
      </c>
      <c r="N29" s="859" t="n">
        <v>0.26</v>
      </c>
    </row>
    <row r="30" customFormat="false" ht="12.75" hidden="false" customHeight="false" outlineLevel="0" collapsed="false">
      <c r="A30" s="18"/>
      <c r="B30" s="17" t="s">
        <v>552</v>
      </c>
      <c r="C30" s="17"/>
      <c r="D30" s="465" t="n">
        <v>0.23</v>
      </c>
      <c r="E30" s="465" t="n">
        <v>0.23</v>
      </c>
      <c r="F30" s="465" t="n">
        <v>0.23</v>
      </c>
      <c r="G30" s="465" t="n">
        <v>0.23</v>
      </c>
      <c r="H30" s="465" t="n">
        <v>0.23</v>
      </c>
      <c r="I30" s="465" t="n">
        <v>0.23</v>
      </c>
      <c r="J30" s="465" t="n">
        <v>0.23</v>
      </c>
      <c r="K30" s="465" t="n">
        <v>0.23</v>
      </c>
      <c r="L30" s="465" t="n">
        <v>0.23</v>
      </c>
      <c r="M30" s="465" t="n">
        <v>0.23</v>
      </c>
      <c r="N30" s="860" t="n">
        <v>0.23</v>
      </c>
    </row>
    <row r="31" customFormat="false" ht="12.75" hidden="false" customHeight="false" outlineLevel="0" collapsed="false">
      <c r="A31" s="18"/>
      <c r="B31" s="17" t="s">
        <v>553</v>
      </c>
      <c r="C31" s="17"/>
      <c r="D31" s="207" t="n">
        <v>1.05</v>
      </c>
      <c r="E31" s="207" t="n">
        <v>1.05</v>
      </c>
      <c r="F31" s="207" t="n">
        <v>1.05</v>
      </c>
      <c r="G31" s="207" t="n">
        <v>1.05</v>
      </c>
      <c r="H31" s="207" t="n">
        <v>1.05</v>
      </c>
      <c r="I31" s="207" t="n">
        <v>1.05</v>
      </c>
      <c r="J31" s="207" t="n">
        <v>1.03</v>
      </c>
      <c r="K31" s="207" t="n">
        <v>1.03</v>
      </c>
      <c r="L31" s="207" t="n">
        <v>1.03</v>
      </c>
      <c r="M31" s="207" t="n">
        <v>1.03</v>
      </c>
      <c r="N31" s="207" t="n">
        <v>1.03</v>
      </c>
    </row>
    <row r="32" customFormat="false" ht="12.75" hidden="false" customHeight="false" outlineLevel="0" collapsed="false">
      <c r="A32" s="18"/>
      <c r="B32" s="17" t="s">
        <v>554</v>
      </c>
      <c r="C32" s="17"/>
      <c r="D32" s="207" t="n">
        <v>1.01</v>
      </c>
      <c r="E32" s="207" t="n">
        <v>1.01</v>
      </c>
      <c r="F32" s="207" t="n">
        <v>1.01</v>
      </c>
      <c r="G32" s="207" t="n">
        <v>1.01</v>
      </c>
      <c r="H32" s="207" t="n">
        <v>1.01</v>
      </c>
      <c r="I32" s="207" t="n">
        <v>1.01</v>
      </c>
      <c r="J32" s="207" t="n">
        <v>1.01</v>
      </c>
      <c r="K32" s="207" t="n">
        <v>1.01</v>
      </c>
      <c r="L32" s="207" t="n">
        <v>1.01</v>
      </c>
      <c r="M32" s="207" t="n">
        <v>1.01</v>
      </c>
      <c r="N32" s="854" t="n">
        <v>1.01</v>
      </c>
    </row>
    <row r="33" customFormat="false" ht="12.75" hidden="false" customHeight="false" outlineLevel="0" collapsed="false">
      <c r="A33" s="18"/>
      <c r="B33" s="17" t="s">
        <v>555</v>
      </c>
      <c r="C33" s="17"/>
      <c r="D33" s="207" t="n">
        <v>1.01</v>
      </c>
      <c r="E33" s="207" t="n">
        <v>1.01</v>
      </c>
      <c r="F33" s="207" t="n">
        <v>1.01</v>
      </c>
      <c r="G33" s="207" t="n">
        <v>1.01</v>
      </c>
      <c r="H33" s="207" t="n">
        <v>1.01</v>
      </c>
      <c r="I33" s="207" t="n">
        <v>1.01</v>
      </c>
      <c r="J33" s="207" t="n">
        <v>1.01</v>
      </c>
      <c r="K33" s="207" t="n">
        <v>1.01</v>
      </c>
      <c r="L33" s="207" t="n">
        <v>1.01</v>
      </c>
      <c r="M33" s="207" t="n">
        <v>1.01</v>
      </c>
      <c r="N33" s="854" t="n">
        <v>1.01</v>
      </c>
    </row>
    <row r="34" customFormat="false" ht="12.75" hidden="false" customHeight="false" outlineLevel="0" collapsed="false">
      <c r="A34" s="18"/>
      <c r="B34" s="83" t="s">
        <v>556</v>
      </c>
      <c r="C34" s="17"/>
      <c r="D34" s="207" t="n">
        <v>1.01</v>
      </c>
      <c r="E34" s="207" t="n">
        <v>1.01</v>
      </c>
      <c r="F34" s="207" t="n">
        <v>1.01</v>
      </c>
      <c r="G34" s="207" t="n">
        <v>1.01</v>
      </c>
      <c r="H34" s="207" t="n">
        <v>1.01</v>
      </c>
      <c r="I34" s="207" t="n">
        <v>1.01</v>
      </c>
      <c r="J34" s="207" t="n">
        <v>1.01</v>
      </c>
      <c r="K34" s="207" t="n">
        <v>1.01</v>
      </c>
      <c r="L34" s="207" t="n">
        <v>1.01</v>
      </c>
      <c r="M34" s="207" t="n">
        <v>1.01</v>
      </c>
      <c r="N34" s="854" t="n">
        <v>1.01</v>
      </c>
    </row>
    <row r="35" customFormat="false" ht="12.75" hidden="false" customHeight="false" outlineLevel="0" collapsed="false">
      <c r="A35" s="93"/>
      <c r="B35" s="103" t="s">
        <v>557</v>
      </c>
      <c r="C35" s="103"/>
      <c r="D35" s="219" t="n">
        <v>1.01</v>
      </c>
      <c r="E35" s="219" t="n">
        <v>1.01</v>
      </c>
      <c r="F35" s="219" t="n">
        <v>1.01</v>
      </c>
      <c r="G35" s="219" t="n">
        <v>1.01</v>
      </c>
      <c r="H35" s="219" t="n">
        <v>1.01</v>
      </c>
      <c r="I35" s="219" t="n">
        <v>1.01</v>
      </c>
      <c r="J35" s="219" t="n">
        <v>1.01</v>
      </c>
      <c r="K35" s="219" t="n">
        <v>1.01</v>
      </c>
      <c r="L35" s="219" t="n">
        <v>1.01</v>
      </c>
      <c r="M35" s="219" t="n">
        <v>1.01</v>
      </c>
      <c r="N35" s="857" t="n">
        <v>1.01</v>
      </c>
    </row>
    <row r="36" customFormat="false" ht="12.75" hidden="false" customHeight="false" outlineLevel="0" collapsed="false">
      <c r="A36" s="17"/>
      <c r="B36" s="17"/>
      <c r="C36" s="17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</row>
    <row r="37" customFormat="false" ht="15.75" hidden="false" customHeight="false" outlineLevel="0" collapsed="false">
      <c r="A37" s="861" t="s">
        <v>558</v>
      </c>
      <c r="B37" s="754"/>
      <c r="C37" s="754"/>
      <c r="D37" s="862"/>
      <c r="E37" s="862"/>
      <c r="F37" s="862"/>
      <c r="G37" s="862"/>
      <c r="H37" s="862"/>
      <c r="I37" s="862"/>
      <c r="J37" s="862"/>
      <c r="K37" s="862"/>
      <c r="L37" s="862"/>
      <c r="M37" s="862"/>
      <c r="N37" s="862"/>
    </row>
    <row r="38" customFormat="false" ht="12.75" hidden="false" customHeight="false" outlineLevel="0" collapsed="false">
      <c r="A38" s="73"/>
      <c r="B38" s="856" t="s">
        <v>559</v>
      </c>
      <c r="C38" s="74"/>
      <c r="D38" s="852" t="n">
        <v>0.685</v>
      </c>
      <c r="E38" s="852" t="n">
        <v>1.025</v>
      </c>
      <c r="F38" s="852" t="n">
        <v>1.025</v>
      </c>
      <c r="G38" s="852" t="n">
        <v>1.025</v>
      </c>
      <c r="H38" s="852" t="n">
        <v>1.025</v>
      </c>
      <c r="I38" s="852" t="n">
        <v>1.025</v>
      </c>
      <c r="J38" s="852" t="n">
        <v>1.025</v>
      </c>
      <c r="K38" s="852" t="n">
        <v>1.025</v>
      </c>
      <c r="L38" s="852" t="n">
        <v>1.025</v>
      </c>
      <c r="M38" s="852" t="n">
        <v>1.025</v>
      </c>
      <c r="N38" s="852" t="n">
        <v>1.025</v>
      </c>
    </row>
    <row r="39" customFormat="false" ht="12.75" hidden="false" customHeight="false" outlineLevel="0" collapsed="false">
      <c r="A39" s="18"/>
      <c r="B39" s="83" t="s">
        <v>560</v>
      </c>
      <c r="C39" s="17"/>
      <c r="D39" s="207" t="n">
        <v>0.4</v>
      </c>
      <c r="E39" s="207" t="n">
        <v>0.395</v>
      </c>
      <c r="F39" s="207" t="n">
        <v>0.395</v>
      </c>
      <c r="G39" s="207" t="n">
        <v>0.395</v>
      </c>
      <c r="H39" s="207" t="n">
        <v>0.38</v>
      </c>
      <c r="I39" s="207" t="n">
        <v>0.38</v>
      </c>
      <c r="J39" s="207" t="n">
        <v>0.38</v>
      </c>
      <c r="K39" s="207" t="n">
        <v>0.385</v>
      </c>
      <c r="L39" s="207" t="n">
        <v>0.385</v>
      </c>
      <c r="M39" s="207" t="n">
        <v>0.38</v>
      </c>
      <c r="N39" s="854" t="n">
        <v>0.38</v>
      </c>
    </row>
    <row r="40" customFormat="false" ht="12.75" hidden="false" customHeight="false" outlineLevel="0" collapsed="false">
      <c r="A40" s="18"/>
      <c r="B40" s="83" t="s">
        <v>561</v>
      </c>
      <c r="C40" s="17"/>
      <c r="D40" s="207" t="n">
        <v>0.4</v>
      </c>
      <c r="E40" s="207" t="n">
        <v>0.395</v>
      </c>
      <c r="F40" s="207" t="n">
        <v>0.395</v>
      </c>
      <c r="G40" s="207" t="n">
        <v>0.395</v>
      </c>
      <c r="H40" s="207" t="n">
        <v>0.38</v>
      </c>
      <c r="I40" s="207" t="n">
        <v>0.38</v>
      </c>
      <c r="J40" s="207" t="n">
        <v>0.38</v>
      </c>
      <c r="K40" s="207" t="n">
        <v>0.385</v>
      </c>
      <c r="L40" s="207" t="n">
        <v>0.385</v>
      </c>
      <c r="M40" s="207" t="n">
        <v>0.38</v>
      </c>
      <c r="N40" s="854" t="n">
        <v>0.38</v>
      </c>
    </row>
    <row r="41" customFormat="false" ht="12.75" hidden="false" customHeight="false" outlineLevel="0" collapsed="false">
      <c r="A41" s="93"/>
      <c r="B41" s="505" t="s">
        <v>562</v>
      </c>
      <c r="C41" s="103"/>
      <c r="D41" s="219" t="n">
        <v>0.99</v>
      </c>
      <c r="E41" s="219" t="n">
        <v>0.99</v>
      </c>
      <c r="F41" s="219" t="n">
        <v>0.99</v>
      </c>
      <c r="G41" s="219" t="n">
        <v>0.99</v>
      </c>
      <c r="H41" s="219" t="n">
        <v>0.99</v>
      </c>
      <c r="I41" s="219" t="n">
        <v>0.99</v>
      </c>
      <c r="J41" s="219" t="n">
        <v>0.99</v>
      </c>
      <c r="K41" s="219" t="n">
        <v>0.99</v>
      </c>
      <c r="L41" s="219" t="n">
        <v>0.99</v>
      </c>
      <c r="M41" s="219" t="n">
        <v>0.99</v>
      </c>
      <c r="N41" s="857" t="n">
        <v>0.99</v>
      </c>
    </row>
    <row r="42" customFormat="false" ht="12.75" hidden="false" customHeight="false" outlineLevel="0" collapsed="false">
      <c r="A42" s="17"/>
      <c r="B42" s="17"/>
      <c r="C42" s="17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</row>
    <row r="43" customFormat="false" ht="15.75" hidden="false" customHeight="false" outlineLevel="0" collapsed="false">
      <c r="A43" s="861" t="s">
        <v>563</v>
      </c>
      <c r="B43" s="863"/>
      <c r="C43" s="863"/>
      <c r="D43" s="864"/>
      <c r="E43" s="864"/>
      <c r="F43" s="864"/>
      <c r="G43" s="864"/>
      <c r="H43" s="864"/>
      <c r="I43" s="864"/>
      <c r="J43" s="864"/>
      <c r="K43" s="864"/>
      <c r="L43" s="864"/>
      <c r="M43" s="864"/>
      <c r="N43" s="864"/>
    </row>
    <row r="44" customFormat="false" ht="12.75" hidden="false" customHeight="false" outlineLevel="0" collapsed="false">
      <c r="A44" s="73"/>
      <c r="B44" s="169" t="s">
        <v>564</v>
      </c>
      <c r="C44" s="74"/>
      <c r="D44" s="852" t="s">
        <v>149</v>
      </c>
      <c r="E44" s="852" t="n">
        <v>0.75</v>
      </c>
      <c r="F44" s="852" t="n">
        <v>1.01</v>
      </c>
      <c r="G44" s="852" t="n">
        <v>1.01</v>
      </c>
      <c r="H44" s="852" t="n">
        <v>1.01</v>
      </c>
      <c r="I44" s="852" t="n">
        <v>1.01</v>
      </c>
      <c r="J44" s="852" t="n">
        <v>1.01</v>
      </c>
      <c r="K44" s="852" t="n">
        <v>1.01</v>
      </c>
      <c r="L44" s="852" t="n">
        <v>1.01</v>
      </c>
      <c r="M44" s="852" t="n">
        <v>1.01</v>
      </c>
      <c r="N44" s="853" t="n">
        <v>1.01</v>
      </c>
    </row>
    <row r="45" customFormat="false" ht="12.75" hidden="false" customHeight="false" outlineLevel="0" collapsed="false">
      <c r="A45" s="18"/>
      <c r="B45" s="140" t="s">
        <v>565</v>
      </c>
      <c r="C45" s="17"/>
      <c r="D45" s="207" t="s">
        <v>149</v>
      </c>
      <c r="E45" s="207" t="n">
        <v>0</v>
      </c>
      <c r="F45" s="207" t="n">
        <v>0</v>
      </c>
      <c r="G45" s="207" t="n">
        <v>0</v>
      </c>
      <c r="H45" s="207" t="n">
        <v>0</v>
      </c>
      <c r="I45" s="207" t="n">
        <v>0</v>
      </c>
      <c r="J45" s="207" t="n">
        <v>0</v>
      </c>
      <c r="K45" s="207" t="n">
        <v>0</v>
      </c>
      <c r="L45" s="207" t="n">
        <v>0</v>
      </c>
      <c r="M45" s="207" t="n">
        <v>0</v>
      </c>
      <c r="N45" s="854" t="n">
        <v>0</v>
      </c>
    </row>
    <row r="46" customFormat="false" ht="12.75" hidden="false" customHeight="false" outlineLevel="0" collapsed="false">
      <c r="A46" s="18"/>
      <c r="B46" s="17" t="s">
        <v>566</v>
      </c>
      <c r="C46" s="17"/>
      <c r="D46" s="207" t="s">
        <v>149</v>
      </c>
      <c r="E46" s="207" t="s">
        <v>149</v>
      </c>
      <c r="F46" s="207" t="n">
        <v>0</v>
      </c>
      <c r="G46" s="207" t="n">
        <v>0</v>
      </c>
      <c r="H46" s="207" t="n">
        <v>0</v>
      </c>
      <c r="I46" s="207" t="n">
        <v>0</v>
      </c>
      <c r="J46" s="207" t="n">
        <v>0</v>
      </c>
      <c r="K46" s="207" t="n">
        <v>0</v>
      </c>
      <c r="L46" s="207" t="n">
        <v>0</v>
      </c>
      <c r="M46" s="207" t="n">
        <v>0</v>
      </c>
      <c r="N46" s="854" t="n">
        <v>0</v>
      </c>
    </row>
    <row r="47" customFormat="false" ht="12.75" hidden="false" customHeight="false" outlineLevel="0" collapsed="false">
      <c r="A47" s="18"/>
      <c r="B47" s="17" t="s">
        <v>567</v>
      </c>
      <c r="C47" s="17"/>
      <c r="D47" s="207" t="s">
        <v>149</v>
      </c>
      <c r="E47" s="207" t="n">
        <v>1</v>
      </c>
      <c r="F47" s="207" t="n">
        <v>1</v>
      </c>
      <c r="G47" s="207" t="n">
        <v>1</v>
      </c>
      <c r="H47" s="207" t="n">
        <v>1</v>
      </c>
      <c r="I47" s="207" t="n">
        <v>1</v>
      </c>
      <c r="J47" s="207" t="n">
        <v>1</v>
      </c>
      <c r="K47" s="207" t="n">
        <v>1</v>
      </c>
      <c r="L47" s="207" t="n">
        <v>1</v>
      </c>
      <c r="M47" s="207" t="n">
        <v>1</v>
      </c>
      <c r="N47" s="854" t="n">
        <v>1</v>
      </c>
    </row>
    <row r="48" customFormat="false" ht="12.75" hidden="false" customHeight="false" outlineLevel="0" collapsed="false">
      <c r="A48" s="18"/>
      <c r="B48" s="140" t="s">
        <v>568</v>
      </c>
      <c r="C48" s="17"/>
      <c r="D48" s="207" t="s">
        <v>149</v>
      </c>
      <c r="E48" s="207" t="n">
        <v>0.1</v>
      </c>
      <c r="F48" s="207" t="n">
        <v>1.01</v>
      </c>
      <c r="G48" s="207" t="n">
        <v>1.01</v>
      </c>
      <c r="H48" s="207" t="n">
        <v>1.01</v>
      </c>
      <c r="I48" s="207" t="n">
        <v>1.01</v>
      </c>
      <c r="J48" s="207" t="n">
        <v>1.01</v>
      </c>
      <c r="K48" s="207" t="n">
        <v>1.01</v>
      </c>
      <c r="L48" s="207" t="n">
        <v>1.01</v>
      </c>
      <c r="M48" s="207" t="n">
        <v>1.01</v>
      </c>
      <c r="N48" s="854" t="n">
        <v>1.01</v>
      </c>
    </row>
    <row r="49" customFormat="false" ht="12.75" hidden="false" customHeight="false" outlineLevel="0" collapsed="false">
      <c r="A49" s="18"/>
      <c r="B49" s="140" t="s">
        <v>569</v>
      </c>
      <c r="C49" s="17"/>
      <c r="D49" s="207" t="s">
        <v>149</v>
      </c>
      <c r="E49" s="207" t="n">
        <v>1.01</v>
      </c>
      <c r="F49" s="207" t="n">
        <v>1.01</v>
      </c>
      <c r="G49" s="207" t="n">
        <v>1.01</v>
      </c>
      <c r="H49" s="207" t="n">
        <v>1.01</v>
      </c>
      <c r="I49" s="207" t="n">
        <v>1.01</v>
      </c>
      <c r="J49" s="207" t="n">
        <v>1.01</v>
      </c>
      <c r="K49" s="207" t="n">
        <v>1.01</v>
      </c>
      <c r="L49" s="207" t="n">
        <v>1.01</v>
      </c>
      <c r="M49" s="207" t="n">
        <v>1.01</v>
      </c>
      <c r="N49" s="854" t="n">
        <v>1.01</v>
      </c>
    </row>
    <row r="50" customFormat="false" ht="12.75" hidden="false" customHeight="false" outlineLevel="0" collapsed="false">
      <c r="A50" s="18"/>
      <c r="B50" s="140" t="s">
        <v>570</v>
      </c>
      <c r="C50" s="17"/>
      <c r="D50" s="207" t="s">
        <v>149</v>
      </c>
      <c r="E50" s="207" t="n">
        <v>1.01</v>
      </c>
      <c r="F50" s="207" t="n">
        <v>1.01</v>
      </c>
      <c r="G50" s="207" t="n">
        <v>1.01</v>
      </c>
      <c r="H50" s="207" t="n">
        <v>1.01</v>
      </c>
      <c r="I50" s="207" t="n">
        <v>1.01</v>
      </c>
      <c r="J50" s="207" t="n">
        <v>0.95</v>
      </c>
      <c r="K50" s="207" t="n">
        <v>0.95</v>
      </c>
      <c r="L50" s="207" t="n">
        <v>0.95</v>
      </c>
      <c r="M50" s="207" t="n">
        <v>0.95</v>
      </c>
      <c r="N50" s="854" t="n">
        <v>0.95</v>
      </c>
    </row>
    <row r="51" customFormat="false" ht="12.75" hidden="false" customHeight="false" outlineLevel="0" collapsed="false">
      <c r="A51" s="93"/>
      <c r="B51" s="176" t="s">
        <v>571</v>
      </c>
      <c r="C51" s="103"/>
      <c r="D51" s="219" t="s">
        <v>149</v>
      </c>
      <c r="E51" s="219" t="n">
        <v>0.98</v>
      </c>
      <c r="F51" s="219" t="n">
        <v>0.98</v>
      </c>
      <c r="G51" s="219" t="n">
        <v>0.98</v>
      </c>
      <c r="H51" s="219" t="n">
        <v>0.98</v>
      </c>
      <c r="I51" s="219" t="n">
        <v>0.98</v>
      </c>
      <c r="J51" s="219" t="n">
        <v>0.98</v>
      </c>
      <c r="K51" s="219" t="n">
        <v>0.98</v>
      </c>
      <c r="L51" s="219" t="n">
        <v>0.95</v>
      </c>
      <c r="M51" s="219" t="n">
        <v>0.95</v>
      </c>
      <c r="N51" s="857" t="n">
        <v>0.95</v>
      </c>
    </row>
    <row r="55" customFormat="false" ht="18" hidden="false" customHeight="false" outlineLevel="0" collapsed="false">
      <c r="A55" s="31" t="s">
        <v>572</v>
      </c>
    </row>
  </sheetData>
  <printOptions headings="false" gridLines="false" gridLinesSet="true" horizontalCentered="false" verticalCentered="false"/>
  <pageMargins left="0.170138888888889" right="0.270138888888889" top="0.30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26.7"/>
    <col collapsed="false" customWidth="true" hidden="false" outlineLevel="0" max="3" min="3" style="0" width="4.7"/>
    <col collapsed="false" customWidth="true" hidden="false" outlineLevel="0" max="4" min="4" style="0" width="25.13"/>
    <col collapsed="false" customWidth="true" hidden="false" outlineLevel="0" max="5" min="5" style="0" width="6.99"/>
    <col collapsed="false" customWidth="true" hidden="false" outlineLevel="0" max="6" min="6" style="0" width="24.7"/>
    <col collapsed="false" customWidth="true" hidden="false" outlineLevel="0" max="7" min="7" style="0" width="4.56"/>
    <col collapsed="false" customWidth="true" hidden="false" outlineLevel="0" max="8" min="8" style="0" width="23.28"/>
    <col collapsed="false" customWidth="true" hidden="false" outlineLevel="0" max="9" min="9" style="0" width="4.14"/>
    <col collapsed="false" customWidth="true" hidden="false" outlineLevel="0" max="10" min="10" style="0" width="21.28"/>
  </cols>
  <sheetData>
    <row r="1" customFormat="false" ht="21" hidden="false" customHeight="false" outlineLevel="0" collapsed="false">
      <c r="A1" s="8" t="str">
        <f aca="false">"Project "&amp;Assumptions!D7</f>
        <v>Project Wolverine</v>
      </c>
      <c r="B1" s="8"/>
      <c r="C1" s="8"/>
      <c r="D1" s="8"/>
      <c r="E1" s="8"/>
      <c r="F1" s="8"/>
      <c r="G1" s="8"/>
      <c r="H1" s="8"/>
      <c r="I1" s="8"/>
      <c r="J1" s="8"/>
    </row>
    <row r="2" customFormat="false" ht="12.75" hidden="false" customHeight="false" outlineLevel="0" collapsed="false">
      <c r="A2" s="9"/>
      <c r="B2" s="10"/>
      <c r="C2" s="11"/>
      <c r="D2" s="10"/>
      <c r="E2" s="11"/>
      <c r="F2" s="10"/>
      <c r="G2" s="11"/>
      <c r="H2" s="10"/>
      <c r="I2" s="11"/>
      <c r="J2" s="12"/>
    </row>
    <row r="3" customFormat="false" ht="15.75" hidden="false" customHeight="false" outlineLevel="0" collapsed="false">
      <c r="A3" s="13" t="s">
        <v>44</v>
      </c>
      <c r="B3" s="13"/>
      <c r="C3" s="14" t="s">
        <v>45</v>
      </c>
      <c r="D3" s="14"/>
      <c r="E3" s="14" t="s">
        <v>45</v>
      </c>
      <c r="F3" s="14"/>
      <c r="G3" s="14" t="s">
        <v>45</v>
      </c>
      <c r="H3" s="14"/>
      <c r="I3" s="15" t="s">
        <v>45</v>
      </c>
      <c r="J3" s="15"/>
    </row>
    <row r="4" customFormat="false" ht="10.5" hidden="false" customHeight="true" outlineLevel="0" collapsed="false">
      <c r="A4" s="16"/>
      <c r="B4" s="17"/>
      <c r="C4" s="18"/>
      <c r="D4" s="17"/>
      <c r="E4" s="18"/>
      <c r="F4" s="17"/>
      <c r="G4" s="18"/>
      <c r="H4" s="17"/>
      <c r="I4" s="18"/>
      <c r="J4" s="19"/>
    </row>
    <row r="5" customFormat="false" ht="15.75" hidden="false" customHeight="false" outlineLevel="0" collapsed="false">
      <c r="A5" s="20"/>
      <c r="B5" s="21" t="s">
        <v>46</v>
      </c>
      <c r="C5" s="22"/>
      <c r="D5" s="22" t="s">
        <v>47</v>
      </c>
      <c r="E5" s="22"/>
      <c r="F5" s="22" t="s">
        <v>48</v>
      </c>
      <c r="G5" s="22"/>
      <c r="H5" s="22"/>
      <c r="I5" s="22"/>
      <c r="J5" s="23"/>
    </row>
    <row r="6" customFormat="false" ht="12.75" hidden="false" customHeight="false" outlineLevel="0" collapsed="false">
      <c r="A6" s="16"/>
      <c r="B6" s="17"/>
      <c r="C6" s="18"/>
      <c r="D6" s="17"/>
      <c r="E6" s="18"/>
      <c r="F6" s="17"/>
      <c r="G6" s="18"/>
      <c r="H6" s="17"/>
      <c r="I6" s="18"/>
      <c r="J6" s="19"/>
    </row>
    <row r="7" customFormat="false" ht="12.75" hidden="false" customHeight="false" outlineLevel="0" collapsed="false">
      <c r="A7" s="24" t="s">
        <v>49</v>
      </c>
      <c r="B7" s="25"/>
      <c r="C7" s="26" t="s">
        <v>49</v>
      </c>
      <c r="D7" s="25"/>
      <c r="E7" s="26" t="s">
        <v>49</v>
      </c>
      <c r="F7" s="25"/>
      <c r="G7" s="26" t="s">
        <v>49</v>
      </c>
      <c r="H7" s="25"/>
      <c r="I7" s="26" t="s">
        <v>49</v>
      </c>
      <c r="J7" s="19"/>
    </row>
    <row r="8" customFormat="false" ht="12.75" hidden="false" customHeight="false" outlineLevel="0" collapsed="false">
      <c r="A8" s="16"/>
      <c r="B8" s="17"/>
      <c r="C8" s="18"/>
      <c r="D8" s="17"/>
      <c r="E8" s="18"/>
      <c r="F8" s="17"/>
      <c r="G8" s="18"/>
      <c r="H8" s="17"/>
      <c r="I8" s="18"/>
      <c r="J8" s="19"/>
    </row>
    <row r="9" customFormat="false" ht="12.75" hidden="false" customHeight="false" outlineLevel="0" collapsed="false">
      <c r="A9" s="16"/>
      <c r="B9" s="17"/>
      <c r="C9" s="18"/>
      <c r="D9" s="17"/>
      <c r="E9" s="18"/>
      <c r="F9" s="17"/>
      <c r="G9" s="18"/>
      <c r="H9" s="17"/>
      <c r="I9" s="18"/>
      <c r="J9" s="19"/>
    </row>
    <row r="10" customFormat="false" ht="12.75" hidden="false" customHeight="false" outlineLevel="0" collapsed="false">
      <c r="A10" s="16"/>
      <c r="B10" s="17"/>
      <c r="C10" s="18"/>
      <c r="D10" s="17"/>
      <c r="E10" s="18"/>
      <c r="F10" s="17"/>
      <c r="G10" s="18"/>
      <c r="H10" s="17"/>
      <c r="I10" s="18"/>
      <c r="J10" s="19"/>
    </row>
    <row r="11" customFormat="false" ht="12.75" hidden="false" customHeight="false" outlineLevel="0" collapsed="false">
      <c r="A11" s="16"/>
      <c r="B11" s="17"/>
      <c r="C11" s="18"/>
      <c r="D11" s="17"/>
      <c r="E11" s="18"/>
      <c r="F11" s="17"/>
      <c r="G11" s="18"/>
      <c r="H11" s="17"/>
      <c r="I11" s="18"/>
      <c r="J11" s="19"/>
    </row>
    <row r="12" customFormat="false" ht="12.75" hidden="false" customHeight="false" outlineLevel="0" collapsed="false">
      <c r="A12" s="16"/>
      <c r="B12" s="17"/>
      <c r="C12" s="18"/>
      <c r="D12" s="17"/>
      <c r="E12" s="18"/>
      <c r="F12" s="17"/>
      <c r="G12" s="18"/>
      <c r="H12" s="17"/>
      <c r="I12" s="18"/>
      <c r="J12" s="19"/>
    </row>
    <row r="13" customFormat="false" ht="12.75" hidden="false" customHeight="false" outlineLevel="0" collapsed="false">
      <c r="A13" s="16"/>
      <c r="B13" s="17"/>
      <c r="C13" s="18"/>
      <c r="D13" s="17"/>
      <c r="E13" s="18"/>
      <c r="F13" s="17"/>
      <c r="G13" s="18"/>
      <c r="H13" s="17"/>
      <c r="I13" s="18"/>
      <c r="J13" s="19"/>
    </row>
    <row r="14" customFormat="false" ht="12.75" hidden="false" customHeight="false" outlineLevel="0" collapsed="false">
      <c r="A14" s="16"/>
      <c r="B14" s="17"/>
      <c r="C14" s="18"/>
      <c r="D14" s="17"/>
      <c r="E14" s="18"/>
      <c r="F14" s="17"/>
      <c r="G14" s="18"/>
      <c r="H14" s="17"/>
      <c r="I14" s="18"/>
      <c r="J14" s="19"/>
    </row>
    <row r="15" customFormat="false" ht="12.75" hidden="false" customHeight="false" outlineLevel="0" collapsed="false">
      <c r="A15" s="16"/>
      <c r="B15" s="17"/>
      <c r="C15" s="18"/>
      <c r="D15" s="17"/>
      <c r="E15" s="18"/>
      <c r="F15" s="17"/>
      <c r="G15" s="18"/>
      <c r="H15" s="17"/>
      <c r="I15" s="18"/>
      <c r="J15" s="19"/>
    </row>
    <row r="16" customFormat="false" ht="12.75" hidden="false" customHeight="false" outlineLevel="0" collapsed="false">
      <c r="A16" s="16"/>
      <c r="B16" s="17"/>
      <c r="C16" s="18"/>
      <c r="D16" s="17"/>
      <c r="E16" s="18"/>
      <c r="F16" s="17"/>
      <c r="G16" s="18"/>
      <c r="H16" s="17"/>
      <c r="I16" s="18"/>
      <c r="J16" s="19"/>
    </row>
    <row r="17" customFormat="false" ht="12.75" hidden="false" customHeight="false" outlineLevel="0" collapsed="false">
      <c r="A17" s="16"/>
      <c r="B17" s="17"/>
      <c r="C17" s="18"/>
      <c r="D17" s="17"/>
      <c r="E17" s="18"/>
      <c r="F17" s="17"/>
      <c r="G17" s="18"/>
      <c r="H17" s="17"/>
      <c r="I17" s="18"/>
      <c r="J17" s="19"/>
    </row>
    <row r="18" customFormat="false" ht="12.75" hidden="false" customHeight="false" outlineLevel="0" collapsed="false">
      <c r="A18" s="16"/>
      <c r="B18" s="17"/>
      <c r="C18" s="18"/>
      <c r="D18" s="17"/>
      <c r="E18" s="18"/>
      <c r="F18" s="17"/>
      <c r="G18" s="18"/>
      <c r="H18" s="17"/>
      <c r="I18" s="18"/>
      <c r="J18" s="19"/>
    </row>
    <row r="19" customFormat="false" ht="12.75" hidden="false" customHeight="false" outlineLevel="0" collapsed="false">
      <c r="A19" s="16"/>
      <c r="B19" s="17"/>
      <c r="C19" s="18"/>
      <c r="D19" s="17"/>
      <c r="E19" s="18"/>
      <c r="F19" s="17"/>
      <c r="G19" s="18"/>
      <c r="H19" s="17"/>
      <c r="I19" s="18"/>
      <c r="J19" s="19"/>
    </row>
    <row r="20" customFormat="false" ht="12.75" hidden="false" customHeight="false" outlineLevel="0" collapsed="false">
      <c r="A20" s="16"/>
      <c r="B20" s="17"/>
      <c r="C20" s="18"/>
      <c r="D20" s="17"/>
      <c r="E20" s="18"/>
      <c r="F20" s="17"/>
      <c r="G20" s="18"/>
      <c r="H20" s="17"/>
      <c r="I20" s="18"/>
      <c r="J20" s="19"/>
    </row>
    <row r="21" customFormat="false" ht="13.5" hidden="false" customHeight="false" outlineLevel="0" collapsed="false">
      <c r="A21" s="27"/>
      <c r="B21" s="28"/>
      <c r="C21" s="29"/>
      <c r="D21" s="28"/>
      <c r="E21" s="29"/>
      <c r="F21" s="28"/>
      <c r="G21" s="29"/>
      <c r="H21" s="28"/>
      <c r="I21" s="29"/>
      <c r="J21" s="30"/>
    </row>
  </sheetData>
  <mergeCells count="6">
    <mergeCell ref="A1:J1"/>
    <mergeCell ref="A3:B3"/>
    <mergeCell ref="C3:D3"/>
    <mergeCell ref="E3:F3"/>
    <mergeCell ref="G3:H3"/>
    <mergeCell ref="I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1.13"/>
    <col collapsed="false" customWidth="true" hidden="false" outlineLevel="0" max="2" min="2" style="0" width="9.99"/>
    <col collapsed="false" customWidth="true" hidden="false" outlineLevel="0" max="22" min="3" style="0" width="10.99"/>
  </cols>
  <sheetData>
    <row r="1" customFormat="false" ht="18" hidden="false" customHeight="false" outlineLevel="0" collapsed="false">
      <c r="A1" s="785" t="str">
        <f aca="false">Assumptions!D7</f>
        <v>Wolverine</v>
      </c>
      <c r="B1" s="786"/>
      <c r="C1" s="10"/>
      <c r="D1" s="10"/>
      <c r="E1" s="12"/>
    </row>
    <row r="2" customFormat="false" ht="15.75" hidden="false" customHeight="false" outlineLevel="0" collapsed="false">
      <c r="A2" s="850" t="s">
        <v>573</v>
      </c>
      <c r="B2" s="851"/>
      <c r="C2" s="17"/>
      <c r="D2" s="17"/>
      <c r="E2" s="19"/>
    </row>
    <row r="3" customFormat="false" ht="16.5" hidden="false" customHeight="false" outlineLevel="0" collapsed="false">
      <c r="A3" s="59"/>
      <c r="B3" s="787"/>
      <c r="C3" s="28"/>
      <c r="D3" s="28"/>
      <c r="E3" s="30"/>
    </row>
    <row r="5" customFormat="false" ht="12.75" hidden="false" customHeight="false" outlineLevel="1" collapsed="false">
      <c r="A5" s="73" t="s">
        <v>309</v>
      </c>
      <c r="B5" s="74"/>
      <c r="C5" s="75" t="n">
        <v>12</v>
      </c>
    </row>
    <row r="6" customFormat="false" ht="12.75" hidden="false" customHeight="false" outlineLevel="1" collapsed="false">
      <c r="A6" s="93" t="s">
        <v>574</v>
      </c>
      <c r="B6" s="103"/>
      <c r="C6" s="857" t="n">
        <v>0.125</v>
      </c>
    </row>
    <row r="7" customFormat="false" ht="12.75" hidden="false" customHeight="false" outlineLevel="1" collapsed="false"/>
    <row r="8" customFormat="false" ht="15.75" hidden="false" customHeight="false" outlineLevel="0" collapsed="false">
      <c r="A8" s="497" t="s">
        <v>575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449"/>
      <c r="O8" s="449"/>
      <c r="P8" s="449"/>
      <c r="Q8" s="449"/>
      <c r="R8" s="449"/>
      <c r="S8" s="449"/>
      <c r="T8" s="449"/>
      <c r="U8" s="449"/>
      <c r="V8" s="449"/>
    </row>
    <row r="9" customFormat="false" ht="15.75" hidden="false" customHeight="false" outlineLevel="0" collapsed="false">
      <c r="A9" s="865" t="s">
        <v>576</v>
      </c>
      <c r="B9" s="449"/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</row>
    <row r="10" customFormat="false" ht="15.75" hidden="false" customHeight="false" outlineLevel="0" collapsed="false">
      <c r="A10" s="855"/>
      <c r="B10" s="866"/>
      <c r="C10" s="867" t="s">
        <v>309</v>
      </c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R10" s="83"/>
      <c r="S10" s="83"/>
      <c r="T10" s="83"/>
      <c r="U10" s="83"/>
      <c r="V10" s="83"/>
    </row>
    <row r="11" customFormat="false" ht="12.75" hidden="false" customHeight="false" outlineLevel="0" collapsed="false">
      <c r="A11" s="737"/>
      <c r="B11" s="868" t="e">
        <f aca="false">'Unlev. Consolid'!O88</f>
        <v>#REF!</v>
      </c>
      <c r="C11" s="869" t="n">
        <v>5</v>
      </c>
      <c r="D11" s="869" t="n">
        <v>6</v>
      </c>
      <c r="E11" s="869" t="n">
        <v>7</v>
      </c>
      <c r="F11" s="869" t="n">
        <v>8</v>
      </c>
      <c r="G11" s="869" t="n">
        <v>9</v>
      </c>
      <c r="H11" s="869" t="n">
        <v>10</v>
      </c>
      <c r="I11" s="869" t="n">
        <v>11</v>
      </c>
      <c r="J11" s="869" t="n">
        <v>12</v>
      </c>
      <c r="K11" s="869" t="n">
        <v>13</v>
      </c>
      <c r="L11" s="869" t="n">
        <v>14</v>
      </c>
      <c r="M11" s="869" t="n">
        <v>15</v>
      </c>
      <c r="N11" s="870"/>
      <c r="O11" s="870"/>
      <c r="P11" s="870"/>
      <c r="Q11" s="870"/>
      <c r="R11" s="870"/>
      <c r="S11" s="870"/>
      <c r="T11" s="870"/>
      <c r="U11" s="870"/>
      <c r="V11" s="870"/>
    </row>
    <row r="12" customFormat="false" ht="12.75" hidden="false" customHeight="false" outlineLevel="0" collapsed="false">
      <c r="A12" s="737"/>
      <c r="B12" s="871" t="n">
        <v>0.06</v>
      </c>
      <c r="C12" s="872" t="e">
        <f aca="true">TABLE($B$11,$C$6,$B12,$C$5,C$11)</f>
        <v>#REF!</v>
      </c>
      <c r="D12" s="872" t="e">
        <f aca="true">TABLE($B$11,$C$6,$B12,$C$5,D$11)</f>
        <v>#REF!</v>
      </c>
      <c r="E12" s="872" t="e">
        <f aca="true">TABLE($B$11,$C$6,$B12,$C$5,E$11)</f>
        <v>#REF!</v>
      </c>
      <c r="F12" s="872" t="e">
        <f aca="true">TABLE($B$11,$C$6,$B12,$C$5,F$11)</f>
        <v>#REF!</v>
      </c>
      <c r="G12" s="872" t="e">
        <f aca="true">TABLE($B$11,$C$6,$B12,$C$5,G$11)</f>
        <v>#REF!</v>
      </c>
      <c r="H12" s="872" t="e">
        <f aca="true">TABLE($B$11,$C$6,$B12,$C$5,H$11)</f>
        <v>#REF!</v>
      </c>
      <c r="I12" s="872" t="e">
        <f aca="true">TABLE($B$11,$C$6,$B12,$C$5,I$11)</f>
        <v>#REF!</v>
      </c>
      <c r="J12" s="872" t="e">
        <f aca="true">TABLE($B$11,$C$6,$B12,$C$5,J$11)</f>
        <v>#REF!</v>
      </c>
      <c r="K12" s="872" t="e">
        <f aca="true">TABLE($B$11,$C$6,$B12,$C$5,K$11)</f>
        <v>#REF!</v>
      </c>
      <c r="L12" s="872" t="e">
        <f aca="true">TABLE($B$11,$C$6,$B12,$C$5,L$11)</f>
        <v>#REF!</v>
      </c>
      <c r="M12" s="872" t="e">
        <f aca="true">TABLE($B$11,$C$6,$B12,$C$5,M$11)</f>
        <v>#REF!</v>
      </c>
      <c r="N12" s="428"/>
      <c r="O12" s="428"/>
      <c r="P12" s="428"/>
      <c r="Q12" s="428"/>
      <c r="R12" s="428"/>
      <c r="S12" s="428"/>
      <c r="T12" s="428"/>
      <c r="U12" s="428"/>
      <c r="V12" s="428"/>
    </row>
    <row r="13" customFormat="false" ht="12.75" hidden="false" customHeight="false" outlineLevel="0" collapsed="false">
      <c r="A13" s="737"/>
      <c r="B13" s="873" t="n">
        <v>0.065</v>
      </c>
      <c r="C13" s="874" t="e">
        <f aca="true">TABLE($B$11,$C$6,$B13,$C$5,C$11)</f>
        <v>#REF!</v>
      </c>
      <c r="D13" s="874" t="e">
        <f aca="true">TABLE($B$11,$C$6,$B13,$C$5,D$11)</f>
        <v>#REF!</v>
      </c>
      <c r="E13" s="874" t="e">
        <f aca="true">TABLE($B$11,$C$6,$B13,$C$5,E$11)</f>
        <v>#REF!</v>
      </c>
      <c r="F13" s="874" t="e">
        <f aca="true">TABLE($B$11,$C$6,$B13,$C$5,F$11)</f>
        <v>#REF!</v>
      </c>
      <c r="G13" s="874" t="e">
        <f aca="true">TABLE($B$11,$C$6,$B13,$C$5,G$11)</f>
        <v>#REF!</v>
      </c>
      <c r="H13" s="874" t="e">
        <f aca="true">TABLE($B$11,$C$6,$B13,$C$5,H$11)</f>
        <v>#REF!</v>
      </c>
      <c r="I13" s="874" t="e">
        <f aca="true">TABLE($B$11,$C$6,$B13,$C$5,I$11)</f>
        <v>#REF!</v>
      </c>
      <c r="J13" s="874" t="e">
        <f aca="true">TABLE($B$11,$C$6,$B13,$C$5,J$11)</f>
        <v>#REF!</v>
      </c>
      <c r="K13" s="874" t="e">
        <f aca="true">TABLE($B$11,$C$6,$B13,$C$5,K$11)</f>
        <v>#REF!</v>
      </c>
      <c r="L13" s="874" t="e">
        <f aca="true">TABLE($B$11,$C$6,$B13,$C$5,L$11)</f>
        <v>#REF!</v>
      </c>
      <c r="M13" s="874" t="e">
        <f aca="true">TABLE($B$11,$C$6,$B13,$C$5,M$11)</f>
        <v>#REF!</v>
      </c>
      <c r="N13" s="428"/>
      <c r="O13" s="428"/>
      <c r="P13" s="428"/>
      <c r="Q13" s="428"/>
      <c r="R13" s="428"/>
      <c r="S13" s="428"/>
      <c r="T13" s="428"/>
      <c r="U13" s="428"/>
      <c r="V13" s="428"/>
    </row>
    <row r="14" customFormat="false" ht="12.75" hidden="false" customHeight="false" outlineLevel="0" collapsed="false">
      <c r="A14" s="737"/>
      <c r="B14" s="871" t="n">
        <v>0.07</v>
      </c>
      <c r="C14" s="872" t="e">
        <f aca="true">TABLE($B$11,$C$6,$B14,$C$5,C$11)</f>
        <v>#REF!</v>
      </c>
      <c r="D14" s="872" t="e">
        <f aca="true">TABLE($B$11,$C$6,$B14,$C$5,D$11)</f>
        <v>#REF!</v>
      </c>
      <c r="E14" s="872" t="e">
        <f aca="true">TABLE($B$11,$C$6,$B14,$C$5,E$11)</f>
        <v>#REF!</v>
      </c>
      <c r="F14" s="872" t="e">
        <f aca="true">TABLE($B$11,$C$6,$B14,$C$5,F$11)</f>
        <v>#REF!</v>
      </c>
      <c r="G14" s="872" t="e">
        <f aca="true">TABLE($B$11,$C$6,$B14,$C$5,G$11)</f>
        <v>#REF!</v>
      </c>
      <c r="H14" s="872" t="e">
        <f aca="true">TABLE($B$11,$C$6,$B14,$C$5,H$11)</f>
        <v>#REF!</v>
      </c>
      <c r="I14" s="872" t="e">
        <f aca="true">TABLE($B$11,$C$6,$B14,$C$5,I$11)</f>
        <v>#REF!</v>
      </c>
      <c r="J14" s="872" t="e">
        <f aca="true">TABLE($B$11,$C$6,$B14,$C$5,J$11)</f>
        <v>#REF!</v>
      </c>
      <c r="K14" s="872" t="e">
        <f aca="true">TABLE($B$11,$C$6,$B14,$C$5,K$11)</f>
        <v>#REF!</v>
      </c>
      <c r="L14" s="872" t="e">
        <f aca="true">TABLE($B$11,$C$6,$B14,$C$5,L$11)</f>
        <v>#REF!</v>
      </c>
      <c r="M14" s="872" t="e">
        <f aca="true">TABLE($B$11,$C$6,$B14,$C$5,M$11)</f>
        <v>#REF!</v>
      </c>
      <c r="N14" s="428"/>
      <c r="O14" s="428"/>
      <c r="P14" s="428"/>
      <c r="Q14" s="428"/>
      <c r="R14" s="428"/>
      <c r="S14" s="428"/>
      <c r="T14" s="428"/>
      <c r="U14" s="428"/>
      <c r="V14" s="428"/>
    </row>
    <row r="15" customFormat="false" ht="12.75" hidden="false" customHeight="false" outlineLevel="0" collapsed="false">
      <c r="A15" s="737"/>
      <c r="B15" s="875" t="n">
        <v>0.075</v>
      </c>
      <c r="C15" s="874" t="e">
        <f aca="true">TABLE($B$11,$C$6,$B15,$C$5,C$11)</f>
        <v>#REF!</v>
      </c>
      <c r="D15" s="874" t="e">
        <f aca="true">TABLE($B$11,$C$6,$B15,$C$5,D$11)</f>
        <v>#REF!</v>
      </c>
      <c r="E15" s="874" t="e">
        <f aca="true">TABLE($B$11,$C$6,$B15,$C$5,E$11)</f>
        <v>#REF!</v>
      </c>
      <c r="F15" s="874" t="e">
        <f aca="true">TABLE($B$11,$C$6,$B15,$C$5,F$11)</f>
        <v>#REF!</v>
      </c>
      <c r="G15" s="874" t="e">
        <f aca="true">TABLE($B$11,$C$6,$B15,$C$5,G$11)</f>
        <v>#REF!</v>
      </c>
      <c r="H15" s="874" t="e">
        <f aca="true">TABLE($B$11,$C$6,$B15,$C$5,H$11)</f>
        <v>#REF!</v>
      </c>
      <c r="I15" s="874" t="e">
        <f aca="true">TABLE($B$11,$C$6,$B15,$C$5,I$11)</f>
        <v>#REF!</v>
      </c>
      <c r="J15" s="874" t="e">
        <f aca="true">TABLE($B$11,$C$6,$B15,$C$5,J$11)</f>
        <v>#REF!</v>
      </c>
      <c r="K15" s="874" t="e">
        <f aca="true">TABLE($B$11,$C$6,$B15,$C$5,K$11)</f>
        <v>#REF!</v>
      </c>
      <c r="L15" s="874" t="e">
        <f aca="true">TABLE($B$11,$C$6,$B15,$C$5,L$11)</f>
        <v>#REF!</v>
      </c>
      <c r="M15" s="874" t="e">
        <f aca="true">TABLE($B$11,$C$6,$B15,$C$5,M$11)</f>
        <v>#REF!</v>
      </c>
      <c r="N15" s="428"/>
      <c r="O15" s="428"/>
      <c r="P15" s="428"/>
      <c r="Q15" s="428"/>
      <c r="R15" s="428"/>
      <c r="S15" s="428"/>
      <c r="T15" s="428"/>
      <c r="U15" s="428"/>
      <c r="V15" s="428"/>
    </row>
    <row r="16" customFormat="false" ht="12.75" hidden="false" customHeight="false" outlineLevel="0" collapsed="false">
      <c r="A16" s="737"/>
      <c r="B16" s="871" t="n">
        <v>0.08</v>
      </c>
      <c r="C16" s="872" t="e">
        <f aca="true">TABLE($B$11,$C$6,$B16,$C$5,C$11)</f>
        <v>#REF!</v>
      </c>
      <c r="D16" s="872" t="e">
        <f aca="true">TABLE($B$11,$C$6,$B16,$C$5,D$11)</f>
        <v>#REF!</v>
      </c>
      <c r="E16" s="872" t="e">
        <f aca="true">TABLE($B$11,$C$6,$B16,$C$5,E$11)</f>
        <v>#REF!</v>
      </c>
      <c r="F16" s="872" t="e">
        <f aca="true">TABLE($B$11,$C$6,$B16,$C$5,F$11)</f>
        <v>#REF!</v>
      </c>
      <c r="G16" s="872" t="e">
        <f aca="true">TABLE($B$11,$C$6,$B16,$C$5,G$11)</f>
        <v>#REF!</v>
      </c>
      <c r="H16" s="872" t="e">
        <f aca="true">TABLE($B$11,$C$6,$B16,$C$5,H$11)</f>
        <v>#REF!</v>
      </c>
      <c r="I16" s="872" t="e">
        <f aca="true">TABLE($B$11,$C$6,$B16,$C$5,I$11)</f>
        <v>#REF!</v>
      </c>
      <c r="J16" s="872" t="e">
        <f aca="true">TABLE($B$11,$C$6,$B16,$C$5,J$11)</f>
        <v>#REF!</v>
      </c>
      <c r="K16" s="872" t="e">
        <f aca="true">TABLE($B$11,$C$6,$B16,$C$5,K$11)</f>
        <v>#REF!</v>
      </c>
      <c r="L16" s="872" t="e">
        <f aca="true">TABLE($B$11,$C$6,$B16,$C$5,L$11)</f>
        <v>#REF!</v>
      </c>
      <c r="M16" s="872" t="e">
        <f aca="true">TABLE($B$11,$C$6,$B16,$C$5,M$11)</f>
        <v>#REF!</v>
      </c>
      <c r="N16" s="428"/>
      <c r="O16" s="428"/>
      <c r="P16" s="428"/>
      <c r="Q16" s="428"/>
      <c r="R16" s="428"/>
      <c r="S16" s="428"/>
      <c r="T16" s="428"/>
      <c r="U16" s="428"/>
      <c r="V16" s="428"/>
    </row>
    <row r="17" customFormat="false" ht="12.75" hidden="false" customHeight="false" outlineLevel="0" collapsed="false">
      <c r="A17" s="737"/>
      <c r="B17" s="873" t="n">
        <v>0.085</v>
      </c>
      <c r="C17" s="874" t="e">
        <f aca="true">TABLE($B$11,$C$6,$B17,$C$5,C$11)</f>
        <v>#REF!</v>
      </c>
      <c r="D17" s="874" t="e">
        <f aca="true">TABLE($B$11,$C$6,$B17,$C$5,D$11)</f>
        <v>#REF!</v>
      </c>
      <c r="E17" s="874" t="e">
        <f aca="true">TABLE($B$11,$C$6,$B17,$C$5,E$11)</f>
        <v>#REF!</v>
      </c>
      <c r="F17" s="874" t="e">
        <f aca="true">TABLE($B$11,$C$6,$B17,$C$5,F$11)</f>
        <v>#REF!</v>
      </c>
      <c r="G17" s="874" t="e">
        <f aca="true">TABLE($B$11,$C$6,$B17,$C$5,G$11)</f>
        <v>#REF!</v>
      </c>
      <c r="H17" s="874" t="e">
        <f aca="true">TABLE($B$11,$C$6,$B17,$C$5,H$11)</f>
        <v>#REF!</v>
      </c>
      <c r="I17" s="874" t="e">
        <f aca="true">TABLE($B$11,$C$6,$B17,$C$5,I$11)</f>
        <v>#REF!</v>
      </c>
      <c r="J17" s="874" t="e">
        <f aca="true">TABLE($B$11,$C$6,$B17,$C$5,J$11)</f>
        <v>#REF!</v>
      </c>
      <c r="K17" s="874" t="e">
        <f aca="true">TABLE($B$11,$C$6,$B17,$C$5,K$11)</f>
        <v>#REF!</v>
      </c>
      <c r="L17" s="874" t="e">
        <f aca="true">TABLE($B$11,$C$6,$B17,$C$5,L$11)</f>
        <v>#REF!</v>
      </c>
      <c r="M17" s="874" t="e">
        <f aca="true">TABLE($B$11,$C$6,$B17,$C$5,M$11)</f>
        <v>#REF!</v>
      </c>
      <c r="N17" s="428"/>
      <c r="O17" s="428"/>
      <c r="P17" s="428"/>
      <c r="Q17" s="428"/>
      <c r="R17" s="428"/>
      <c r="S17" s="428"/>
      <c r="T17" s="428"/>
      <c r="U17" s="428"/>
      <c r="V17" s="428"/>
    </row>
    <row r="18" customFormat="false" ht="12.75" hidden="false" customHeight="false" outlineLevel="0" collapsed="false">
      <c r="A18" s="737"/>
      <c r="B18" s="871" t="n">
        <v>0.09</v>
      </c>
      <c r="C18" s="872" t="e">
        <f aca="true">TABLE($B$11,$C$6,$B18,$C$5,C$11)</f>
        <v>#REF!</v>
      </c>
      <c r="D18" s="872" t="e">
        <f aca="true">TABLE($B$11,$C$6,$B18,$C$5,D$11)</f>
        <v>#REF!</v>
      </c>
      <c r="E18" s="872" t="e">
        <f aca="true">TABLE($B$11,$C$6,$B18,$C$5,E$11)</f>
        <v>#REF!</v>
      </c>
      <c r="F18" s="872" t="e">
        <f aca="true">TABLE($B$11,$C$6,$B18,$C$5,F$11)</f>
        <v>#REF!</v>
      </c>
      <c r="G18" s="872" t="e">
        <f aca="true">TABLE($B$11,$C$6,$B18,$C$5,G$11)</f>
        <v>#REF!</v>
      </c>
      <c r="H18" s="872" t="e">
        <f aca="true">TABLE($B$11,$C$6,$B18,$C$5,H$11)</f>
        <v>#REF!</v>
      </c>
      <c r="I18" s="872" t="e">
        <f aca="true">TABLE($B$11,$C$6,$B18,$C$5,I$11)</f>
        <v>#REF!</v>
      </c>
      <c r="J18" s="872" t="e">
        <f aca="true">TABLE($B$11,$C$6,$B18,$C$5,J$11)</f>
        <v>#REF!</v>
      </c>
      <c r="K18" s="872" t="e">
        <f aca="true">TABLE($B$11,$C$6,$B18,$C$5,K$11)</f>
        <v>#REF!</v>
      </c>
      <c r="L18" s="872" t="e">
        <f aca="true">TABLE($B$11,$C$6,$B18,$C$5,L$11)</f>
        <v>#REF!</v>
      </c>
      <c r="M18" s="872" t="e">
        <f aca="true">TABLE($B$11,$C$6,$B18,$C$5,M$11)</f>
        <v>#REF!</v>
      </c>
      <c r="N18" s="428"/>
      <c r="O18" s="428"/>
      <c r="P18" s="428"/>
      <c r="Q18" s="428"/>
      <c r="R18" s="428"/>
      <c r="S18" s="428"/>
      <c r="T18" s="428"/>
      <c r="U18" s="428"/>
      <c r="V18" s="428"/>
    </row>
    <row r="19" customFormat="false" ht="12.75" hidden="false" customHeight="false" outlineLevel="0" collapsed="false">
      <c r="A19" s="876" t="s">
        <v>577</v>
      </c>
      <c r="B19" s="873" t="n">
        <v>0.095</v>
      </c>
      <c r="C19" s="874" t="e">
        <f aca="true">TABLE($B$11,$C$6,$B19,$C$5,C$11)</f>
        <v>#REF!</v>
      </c>
      <c r="D19" s="874" t="e">
        <f aca="true">TABLE($B$11,$C$6,$B19,$C$5,D$11)</f>
        <v>#REF!</v>
      </c>
      <c r="E19" s="874" t="e">
        <f aca="true">TABLE($B$11,$C$6,$B19,$C$5,E$11)</f>
        <v>#REF!</v>
      </c>
      <c r="F19" s="874" t="e">
        <f aca="true">TABLE($B$11,$C$6,$B19,$C$5,F$11)</f>
        <v>#REF!</v>
      </c>
      <c r="G19" s="874" t="e">
        <f aca="true">TABLE($B$11,$C$6,$B19,$C$5,G$11)</f>
        <v>#REF!</v>
      </c>
      <c r="H19" s="874" t="e">
        <f aca="true">TABLE($B$11,$C$6,$B19,$C$5,H$11)</f>
        <v>#REF!</v>
      </c>
      <c r="I19" s="874" t="e">
        <f aca="true">TABLE($B$11,$C$6,$B19,$C$5,I$11)</f>
        <v>#REF!</v>
      </c>
      <c r="J19" s="874" t="e">
        <f aca="true">TABLE($B$11,$C$6,$B19,$C$5,J$11)</f>
        <v>#REF!</v>
      </c>
      <c r="K19" s="874" t="e">
        <f aca="true">TABLE($B$11,$C$6,$B19,$C$5,K$11)</f>
        <v>#REF!</v>
      </c>
      <c r="L19" s="874" t="e">
        <f aca="true">TABLE($B$11,$C$6,$B19,$C$5,L$11)</f>
        <v>#REF!</v>
      </c>
      <c r="M19" s="874" t="e">
        <f aca="true">TABLE($B$11,$C$6,$B19,$C$5,M$11)</f>
        <v>#REF!</v>
      </c>
      <c r="N19" s="428"/>
      <c r="O19" s="428"/>
      <c r="P19" s="428"/>
      <c r="Q19" s="428"/>
      <c r="R19" s="428"/>
      <c r="S19" s="428"/>
      <c r="T19" s="428"/>
      <c r="U19" s="428"/>
      <c r="V19" s="428"/>
    </row>
    <row r="20" customFormat="false" ht="12.75" hidden="false" customHeight="false" outlineLevel="0" collapsed="false">
      <c r="A20" s="876" t="s">
        <v>185</v>
      </c>
      <c r="B20" s="871" t="n">
        <v>0.1</v>
      </c>
      <c r="C20" s="872" t="e">
        <f aca="true">TABLE($B$11,$C$6,$B20,$C$5,C$11)</f>
        <v>#REF!</v>
      </c>
      <c r="D20" s="872" t="e">
        <f aca="true">TABLE($B$11,$C$6,$B20,$C$5,D$11)</f>
        <v>#REF!</v>
      </c>
      <c r="E20" s="872" t="e">
        <f aca="true">TABLE($B$11,$C$6,$B20,$C$5,E$11)</f>
        <v>#REF!</v>
      </c>
      <c r="F20" s="872" t="e">
        <f aca="true">TABLE($B$11,$C$6,$B20,$C$5,F$11)</f>
        <v>#REF!</v>
      </c>
      <c r="G20" s="872" t="e">
        <f aca="true">TABLE($B$11,$C$6,$B20,$C$5,G$11)</f>
        <v>#REF!</v>
      </c>
      <c r="H20" s="872" t="e">
        <f aca="true">TABLE($B$11,$C$6,$B20,$C$5,H$11)</f>
        <v>#REF!</v>
      </c>
      <c r="I20" s="872" t="e">
        <f aca="true">TABLE($B$11,$C$6,$B20,$C$5,I$11)</f>
        <v>#REF!</v>
      </c>
      <c r="J20" s="872" t="e">
        <f aca="true">TABLE($B$11,$C$6,$B20,$C$5,J$11)</f>
        <v>#REF!</v>
      </c>
      <c r="K20" s="872" t="e">
        <f aca="true">TABLE($B$11,$C$6,$B20,$C$5,K$11)</f>
        <v>#REF!</v>
      </c>
      <c r="L20" s="872" t="e">
        <f aca="true">TABLE($B$11,$C$6,$B20,$C$5,L$11)</f>
        <v>#REF!</v>
      </c>
      <c r="M20" s="872" t="e">
        <f aca="true">TABLE($B$11,$C$6,$B20,$C$5,M$11)</f>
        <v>#REF!</v>
      </c>
      <c r="N20" s="428"/>
      <c r="O20" s="428"/>
      <c r="P20" s="428"/>
      <c r="Q20" s="428"/>
      <c r="R20" s="428"/>
      <c r="S20" s="428"/>
      <c r="T20" s="428"/>
      <c r="U20" s="428"/>
      <c r="V20" s="428"/>
    </row>
    <row r="21" customFormat="false" ht="12.75" hidden="false" customHeight="false" outlineLevel="0" collapsed="false">
      <c r="A21" s="737"/>
      <c r="B21" s="873" t="n">
        <v>0.105</v>
      </c>
      <c r="C21" s="874" t="e">
        <f aca="true">TABLE($B$11,$C$6,$B21,$C$5,C$11)</f>
        <v>#REF!</v>
      </c>
      <c r="D21" s="874" t="e">
        <f aca="true">TABLE($B$11,$C$6,$B21,$C$5,D$11)</f>
        <v>#REF!</v>
      </c>
      <c r="E21" s="874" t="e">
        <f aca="true">TABLE($B$11,$C$6,$B21,$C$5,E$11)</f>
        <v>#REF!</v>
      </c>
      <c r="F21" s="874" t="e">
        <f aca="true">TABLE($B$11,$C$6,$B21,$C$5,F$11)</f>
        <v>#REF!</v>
      </c>
      <c r="G21" s="874" t="e">
        <f aca="true">TABLE($B$11,$C$6,$B21,$C$5,G$11)</f>
        <v>#REF!</v>
      </c>
      <c r="H21" s="874" t="e">
        <f aca="true">TABLE($B$11,$C$6,$B21,$C$5,H$11)</f>
        <v>#REF!</v>
      </c>
      <c r="I21" s="874" t="e">
        <f aca="true">TABLE($B$11,$C$6,$B21,$C$5,I$11)</f>
        <v>#REF!</v>
      </c>
      <c r="J21" s="874" t="e">
        <f aca="true">TABLE($B$11,$C$6,$B21,$C$5,J$11)</f>
        <v>#REF!</v>
      </c>
      <c r="K21" s="874" t="e">
        <f aca="true">TABLE($B$11,$C$6,$B21,$C$5,K$11)</f>
        <v>#REF!</v>
      </c>
      <c r="L21" s="874" t="e">
        <f aca="true">TABLE($B$11,$C$6,$B21,$C$5,L$11)</f>
        <v>#REF!</v>
      </c>
      <c r="M21" s="874" t="e">
        <f aca="true">TABLE($B$11,$C$6,$B21,$C$5,M$11)</f>
        <v>#REF!</v>
      </c>
      <c r="N21" s="428"/>
      <c r="O21" s="428"/>
      <c r="P21" s="428"/>
      <c r="Q21" s="428"/>
      <c r="R21" s="428"/>
      <c r="S21" s="428"/>
      <c r="T21" s="428"/>
      <c r="U21" s="428"/>
      <c r="V21" s="428"/>
    </row>
    <row r="22" customFormat="false" ht="12.75" hidden="false" customHeight="false" outlineLevel="0" collapsed="false">
      <c r="A22" s="737"/>
      <c r="B22" s="871" t="n">
        <v>0.11</v>
      </c>
      <c r="C22" s="872" t="e">
        <f aca="true">TABLE($B$11,$C$6,$B22,$C$5,C$11)</f>
        <v>#REF!</v>
      </c>
      <c r="D22" s="872" t="e">
        <f aca="true">TABLE($B$11,$C$6,$B22,$C$5,D$11)</f>
        <v>#REF!</v>
      </c>
      <c r="E22" s="872" t="e">
        <f aca="true">TABLE($B$11,$C$6,$B22,$C$5,E$11)</f>
        <v>#REF!</v>
      </c>
      <c r="F22" s="872" t="e">
        <f aca="true">TABLE($B$11,$C$6,$B22,$C$5,F$11)</f>
        <v>#REF!</v>
      </c>
      <c r="G22" s="872" t="e">
        <f aca="true">TABLE($B$11,$C$6,$B22,$C$5,G$11)</f>
        <v>#REF!</v>
      </c>
      <c r="H22" s="872" t="e">
        <f aca="true">TABLE($B$11,$C$6,$B22,$C$5,H$11)</f>
        <v>#REF!</v>
      </c>
      <c r="I22" s="872" t="e">
        <f aca="true">TABLE($B$11,$C$6,$B22,$C$5,I$11)</f>
        <v>#REF!</v>
      </c>
      <c r="J22" s="872" t="e">
        <f aca="true">TABLE($B$11,$C$6,$B22,$C$5,J$11)</f>
        <v>#REF!</v>
      </c>
      <c r="K22" s="872" t="e">
        <f aca="true">TABLE($B$11,$C$6,$B22,$C$5,K$11)</f>
        <v>#REF!</v>
      </c>
      <c r="L22" s="872" t="e">
        <f aca="true">TABLE($B$11,$C$6,$B22,$C$5,L$11)</f>
        <v>#REF!</v>
      </c>
      <c r="M22" s="872" t="e">
        <f aca="true">TABLE($B$11,$C$6,$B22,$C$5,M$11)</f>
        <v>#REF!</v>
      </c>
      <c r="N22" s="428"/>
      <c r="O22" s="428"/>
      <c r="P22" s="428"/>
      <c r="Q22" s="428"/>
      <c r="R22" s="428"/>
      <c r="S22" s="428"/>
      <c r="T22" s="428"/>
      <c r="U22" s="428"/>
      <c r="V22" s="428"/>
    </row>
    <row r="23" customFormat="false" ht="12.75" hidden="false" customHeight="false" outlineLevel="0" collapsed="false">
      <c r="A23" s="737"/>
      <c r="B23" s="873" t="n">
        <v>0.115</v>
      </c>
      <c r="C23" s="874" t="e">
        <f aca="true">TABLE($B$11,$C$6,$B23,$C$5,C$11)</f>
        <v>#REF!</v>
      </c>
      <c r="D23" s="874" t="e">
        <f aca="true">TABLE($B$11,$C$6,$B23,$C$5,D$11)</f>
        <v>#REF!</v>
      </c>
      <c r="E23" s="874" t="e">
        <f aca="true">TABLE($B$11,$C$6,$B23,$C$5,E$11)</f>
        <v>#REF!</v>
      </c>
      <c r="F23" s="874" t="e">
        <f aca="true">TABLE($B$11,$C$6,$B23,$C$5,F$11)</f>
        <v>#REF!</v>
      </c>
      <c r="G23" s="874" t="e">
        <f aca="true">TABLE($B$11,$C$6,$B23,$C$5,G$11)</f>
        <v>#REF!</v>
      </c>
      <c r="H23" s="874" t="e">
        <f aca="true">TABLE($B$11,$C$6,$B23,$C$5,H$11)</f>
        <v>#REF!</v>
      </c>
      <c r="I23" s="874" t="e">
        <f aca="true">TABLE($B$11,$C$6,$B23,$C$5,I$11)</f>
        <v>#REF!</v>
      </c>
      <c r="J23" s="874" t="e">
        <f aca="true">TABLE($B$11,$C$6,$B23,$C$5,J$11)</f>
        <v>#REF!</v>
      </c>
      <c r="K23" s="874" t="e">
        <f aca="true">TABLE($B$11,$C$6,$B23,$C$5,K$11)</f>
        <v>#REF!</v>
      </c>
      <c r="L23" s="874" t="e">
        <f aca="true">TABLE($B$11,$C$6,$B23,$C$5,L$11)</f>
        <v>#REF!</v>
      </c>
      <c r="M23" s="874" t="e">
        <f aca="true">TABLE($B$11,$C$6,$B23,$C$5,M$11)</f>
        <v>#REF!</v>
      </c>
      <c r="N23" s="428"/>
      <c r="O23" s="428"/>
      <c r="P23" s="428"/>
      <c r="Q23" s="428"/>
      <c r="R23" s="428"/>
      <c r="S23" s="428"/>
      <c r="T23" s="428"/>
      <c r="U23" s="428"/>
      <c r="V23" s="428"/>
    </row>
    <row r="24" customFormat="false" ht="12.75" hidden="false" customHeight="false" outlineLevel="0" collapsed="false">
      <c r="A24" s="737"/>
      <c r="B24" s="871" t="n">
        <v>0.12</v>
      </c>
      <c r="C24" s="872" t="e">
        <f aca="true">TABLE($B$11,$C$6,$B24,$C$5,C$11)</f>
        <v>#REF!</v>
      </c>
      <c r="D24" s="872" t="e">
        <f aca="true">TABLE($B$11,$C$6,$B24,$C$5,D$11)</f>
        <v>#REF!</v>
      </c>
      <c r="E24" s="872" t="e">
        <f aca="true">TABLE($B$11,$C$6,$B24,$C$5,E$11)</f>
        <v>#REF!</v>
      </c>
      <c r="F24" s="872" t="e">
        <f aca="true">TABLE($B$11,$C$6,$B24,$C$5,F$11)</f>
        <v>#REF!</v>
      </c>
      <c r="G24" s="872" t="e">
        <f aca="true">TABLE($B$11,$C$6,$B24,$C$5,G$11)</f>
        <v>#REF!</v>
      </c>
      <c r="H24" s="872" t="e">
        <f aca="true">TABLE($B$11,$C$6,$B24,$C$5,H$11)</f>
        <v>#REF!</v>
      </c>
      <c r="I24" s="872" t="e">
        <f aca="true">TABLE($B$11,$C$6,$B24,$C$5,I$11)</f>
        <v>#REF!</v>
      </c>
      <c r="J24" s="872" t="e">
        <f aca="true">TABLE($B$11,$C$6,$B24,$C$5,J$11)</f>
        <v>#REF!</v>
      </c>
      <c r="K24" s="872" t="e">
        <f aca="true">TABLE($B$11,$C$6,$B24,$C$5,K$11)</f>
        <v>#REF!</v>
      </c>
      <c r="L24" s="872" t="e">
        <f aca="true">TABLE($B$11,$C$6,$B24,$C$5,L$11)</f>
        <v>#REF!</v>
      </c>
      <c r="M24" s="872" t="e">
        <f aca="true">TABLE($B$11,$C$6,$B24,$C$5,M$11)</f>
        <v>#REF!</v>
      </c>
      <c r="N24" s="428"/>
      <c r="O24" s="428"/>
      <c r="P24" s="428"/>
      <c r="Q24" s="428"/>
      <c r="R24" s="428"/>
      <c r="S24" s="428"/>
      <c r="T24" s="428"/>
      <c r="U24" s="428"/>
      <c r="V24" s="428"/>
    </row>
    <row r="25" customFormat="false" ht="12.75" hidden="false" customHeight="false" outlineLevel="0" collapsed="false">
      <c r="A25" s="737"/>
      <c r="B25" s="873" t="n">
        <v>0.125</v>
      </c>
      <c r="C25" s="874" t="e">
        <f aca="true">TABLE($B$11,$C$6,$B25,$C$5,C$11)</f>
        <v>#REF!</v>
      </c>
      <c r="D25" s="874" t="e">
        <f aca="true">TABLE($B$11,$C$6,$B25,$C$5,D$11)</f>
        <v>#REF!</v>
      </c>
      <c r="E25" s="874" t="e">
        <f aca="true">TABLE($B$11,$C$6,$B25,$C$5,E$11)</f>
        <v>#REF!</v>
      </c>
      <c r="F25" s="874" t="e">
        <f aca="true">TABLE($B$11,$C$6,$B25,$C$5,F$11)</f>
        <v>#REF!</v>
      </c>
      <c r="G25" s="874" t="e">
        <f aca="true">TABLE($B$11,$C$6,$B25,$C$5,G$11)</f>
        <v>#REF!</v>
      </c>
      <c r="H25" s="874" t="e">
        <f aca="true">TABLE($B$11,$C$6,$B25,$C$5,H$11)</f>
        <v>#REF!</v>
      </c>
      <c r="I25" s="874" t="e">
        <f aca="true">TABLE($B$11,$C$6,$B25,$C$5,I$11)</f>
        <v>#REF!</v>
      </c>
      <c r="J25" s="877" t="e">
        <f aca="true">TABLE($B$11,$C$6,$B25,$C$5,J$11)</f>
        <v>#REF!</v>
      </c>
      <c r="K25" s="874" t="e">
        <f aca="true">TABLE($B$11,$C$6,$B25,$C$5,K$11)</f>
        <v>#REF!</v>
      </c>
      <c r="L25" s="874" t="e">
        <f aca="true">TABLE($B$11,$C$6,$B25,$C$5,L$11)</f>
        <v>#REF!</v>
      </c>
      <c r="M25" s="874" t="e">
        <f aca="true">TABLE($B$11,$C$6,$B25,$C$5,M$11)</f>
        <v>#REF!</v>
      </c>
      <c r="N25" s="428"/>
      <c r="O25" s="428"/>
      <c r="P25" s="428"/>
      <c r="Q25" s="428"/>
      <c r="R25" s="428"/>
      <c r="S25" s="428"/>
      <c r="T25" s="428"/>
      <c r="U25" s="428"/>
      <c r="V25" s="428"/>
    </row>
    <row r="26" customFormat="false" ht="12.75" hidden="false" customHeight="false" outlineLevel="0" collapsed="false">
      <c r="A26" s="737"/>
      <c r="B26" s="871" t="n">
        <v>0.13</v>
      </c>
      <c r="C26" s="872" t="e">
        <f aca="true">TABLE($B$11,$C$6,$B26,$C$5,C$11)</f>
        <v>#REF!</v>
      </c>
      <c r="D26" s="872" t="e">
        <f aca="true">TABLE($B$11,$C$6,$B26,$C$5,D$11)</f>
        <v>#REF!</v>
      </c>
      <c r="E26" s="872" t="e">
        <f aca="true">TABLE($B$11,$C$6,$B26,$C$5,E$11)</f>
        <v>#REF!</v>
      </c>
      <c r="F26" s="872" t="e">
        <f aca="true">TABLE($B$11,$C$6,$B26,$C$5,F$11)</f>
        <v>#REF!</v>
      </c>
      <c r="G26" s="872" t="e">
        <f aca="true">TABLE($B$11,$C$6,$B26,$C$5,G$11)</f>
        <v>#REF!</v>
      </c>
      <c r="H26" s="872" t="e">
        <f aca="true">TABLE($B$11,$C$6,$B26,$C$5,H$11)</f>
        <v>#REF!</v>
      </c>
      <c r="I26" s="872" t="e">
        <f aca="true">TABLE($B$11,$C$6,$B26,$C$5,I$11)</f>
        <v>#REF!</v>
      </c>
      <c r="J26" s="872" t="e">
        <f aca="true">TABLE($B$11,$C$6,$B26,$C$5,J$11)</f>
        <v>#REF!</v>
      </c>
      <c r="K26" s="872" t="e">
        <f aca="true">TABLE($B$11,$C$6,$B26,$C$5,K$11)</f>
        <v>#REF!</v>
      </c>
      <c r="L26" s="872" t="e">
        <f aca="true">TABLE($B$11,$C$6,$B26,$C$5,L$11)</f>
        <v>#REF!</v>
      </c>
      <c r="M26" s="872" t="e">
        <f aca="true">TABLE($B$11,$C$6,$B26,$C$5,M$11)</f>
        <v>#REF!</v>
      </c>
      <c r="N26" s="428"/>
      <c r="O26" s="428"/>
      <c r="P26" s="428"/>
      <c r="Q26" s="428"/>
      <c r="R26" s="428"/>
      <c r="S26" s="428"/>
      <c r="T26" s="428"/>
      <c r="U26" s="428"/>
      <c r="V26" s="428"/>
    </row>
    <row r="27" customFormat="false" ht="12.75" hidden="false" customHeight="false" outlineLevel="0" collapsed="false">
      <c r="A27" s="737"/>
      <c r="B27" s="873" t="n">
        <v>0.135</v>
      </c>
      <c r="C27" s="874" t="e">
        <f aca="true">TABLE($B$11,$C$6,$B27,$C$5,C$11)</f>
        <v>#REF!</v>
      </c>
      <c r="D27" s="874" t="e">
        <f aca="true">TABLE($B$11,$C$6,$B27,$C$5,D$11)</f>
        <v>#REF!</v>
      </c>
      <c r="E27" s="874" t="e">
        <f aca="true">TABLE($B$11,$C$6,$B27,$C$5,E$11)</f>
        <v>#REF!</v>
      </c>
      <c r="F27" s="874" t="e">
        <f aca="true">TABLE($B$11,$C$6,$B27,$C$5,F$11)</f>
        <v>#REF!</v>
      </c>
      <c r="G27" s="874" t="e">
        <f aca="true">TABLE($B$11,$C$6,$B27,$C$5,G$11)</f>
        <v>#REF!</v>
      </c>
      <c r="H27" s="874" t="e">
        <f aca="true">TABLE($B$11,$C$6,$B27,$C$5,H$11)</f>
        <v>#REF!</v>
      </c>
      <c r="I27" s="874" t="e">
        <f aca="true">TABLE($B$11,$C$6,$B27,$C$5,I$11)</f>
        <v>#REF!</v>
      </c>
      <c r="J27" s="874" t="e">
        <f aca="true">TABLE($B$11,$C$6,$B27,$C$5,J$11)</f>
        <v>#REF!</v>
      </c>
      <c r="K27" s="874" t="e">
        <f aca="true">TABLE($B$11,$C$6,$B27,$C$5,K$11)</f>
        <v>#REF!</v>
      </c>
      <c r="L27" s="874" t="e">
        <f aca="true">TABLE($B$11,$C$6,$B27,$C$5,L$11)</f>
        <v>#REF!</v>
      </c>
      <c r="M27" s="874" t="e">
        <f aca="true">TABLE($B$11,$C$6,$B27,$C$5,M$11)</f>
        <v>#REF!</v>
      </c>
      <c r="N27" s="428"/>
      <c r="O27" s="428"/>
      <c r="P27" s="428"/>
      <c r="Q27" s="428"/>
      <c r="R27" s="428"/>
      <c r="S27" s="428"/>
      <c r="T27" s="428"/>
      <c r="U27" s="428"/>
      <c r="V27" s="428"/>
    </row>
    <row r="28" customFormat="false" ht="12.75" hidden="false" customHeight="false" outlineLevel="0" collapsed="false">
      <c r="A28" s="737"/>
      <c r="B28" s="878" t="n">
        <v>0.14</v>
      </c>
      <c r="C28" s="879" t="e">
        <f aca="true">TABLE($B$11,$C$6,$B28,$C$5,C$11)</f>
        <v>#REF!</v>
      </c>
      <c r="D28" s="879" t="e">
        <f aca="true">TABLE($B$11,$C$6,$B28,$C$5,D$11)</f>
        <v>#REF!</v>
      </c>
      <c r="E28" s="879" t="e">
        <f aca="true">TABLE($B$11,$C$6,$B28,$C$5,E$11)</f>
        <v>#REF!</v>
      </c>
      <c r="F28" s="879" t="e">
        <f aca="true">TABLE($B$11,$C$6,$B28,$C$5,F$11)</f>
        <v>#REF!</v>
      </c>
      <c r="G28" s="879" t="e">
        <f aca="true">TABLE($B$11,$C$6,$B28,$C$5,G$11)</f>
        <v>#REF!</v>
      </c>
      <c r="H28" s="879" t="e">
        <f aca="true">TABLE($B$11,$C$6,$B28,$C$5,H$11)</f>
        <v>#REF!</v>
      </c>
      <c r="I28" s="879" t="e">
        <f aca="true">TABLE($B$11,$C$6,$B28,$C$5,I$11)</f>
        <v>#REF!</v>
      </c>
      <c r="J28" s="879" t="e">
        <f aca="true">TABLE($B$11,$C$6,$B28,$C$5,J$11)</f>
        <v>#REF!</v>
      </c>
      <c r="K28" s="879" t="e">
        <f aca="true">TABLE($B$11,$C$6,$B28,$C$5,K$11)</f>
        <v>#REF!</v>
      </c>
      <c r="L28" s="879" t="e">
        <f aca="true">TABLE($B$11,$C$6,$B28,$C$5,L$11)</f>
        <v>#REF!</v>
      </c>
      <c r="M28" s="879" t="e">
        <f aca="true">TABLE($B$11,$C$6,$B28,$C$5,M$11)</f>
        <v>#REF!</v>
      </c>
      <c r="N28" s="428"/>
      <c r="O28" s="428"/>
      <c r="P28" s="428"/>
      <c r="Q28" s="428"/>
      <c r="R28" s="428"/>
      <c r="S28" s="428"/>
      <c r="T28" s="428"/>
      <c r="U28" s="428"/>
      <c r="V28" s="428"/>
    </row>
    <row r="29" customFormat="false" ht="12.75" hidden="false" customHeight="false" outlineLevel="0" collapsed="false">
      <c r="A29" s="783"/>
      <c r="B29" s="880" t="n">
        <v>0.145</v>
      </c>
      <c r="C29" s="874" t="e">
        <f aca="true">TABLE($B$11,$C$6,$B29,$C$5,C$11)</f>
        <v>#REF!</v>
      </c>
      <c r="D29" s="874" t="e">
        <f aca="true">TABLE($B$11,$C$6,$B29,$C$5,D$11)</f>
        <v>#REF!</v>
      </c>
      <c r="E29" s="874" t="e">
        <f aca="true">TABLE($B$11,$C$6,$B29,$C$5,E$11)</f>
        <v>#REF!</v>
      </c>
      <c r="F29" s="874" t="e">
        <f aca="true">TABLE($B$11,$C$6,$B29,$C$5,F$11)</f>
        <v>#REF!</v>
      </c>
      <c r="G29" s="874" t="e">
        <f aca="true">TABLE($B$11,$C$6,$B29,$C$5,G$11)</f>
        <v>#REF!</v>
      </c>
      <c r="H29" s="874" t="e">
        <f aca="true">TABLE($B$11,$C$6,$B29,$C$5,H$11)</f>
        <v>#REF!</v>
      </c>
      <c r="I29" s="874" t="e">
        <f aca="true">TABLE($B$11,$C$6,$B29,$C$5,I$11)</f>
        <v>#REF!</v>
      </c>
      <c r="J29" s="874" t="e">
        <f aca="true">TABLE($B$11,$C$6,$B29,$C$5,J$11)</f>
        <v>#REF!</v>
      </c>
      <c r="K29" s="874" t="e">
        <f aca="true">TABLE($B$11,$C$6,$B29,$C$5,K$11)</f>
        <v>#REF!</v>
      </c>
      <c r="L29" s="874" t="e">
        <f aca="true">TABLE($B$11,$C$6,$B29,$C$5,L$11)</f>
        <v>#REF!</v>
      </c>
      <c r="M29" s="874" t="e">
        <f aca="true">TABLE($B$11,$C$6,$B29,$C$5,M$11)</f>
        <v>#REF!</v>
      </c>
      <c r="N29" s="428"/>
      <c r="O29" s="428"/>
      <c r="P29" s="428"/>
      <c r="Q29" s="428"/>
      <c r="R29" s="428"/>
      <c r="S29" s="428"/>
      <c r="T29" s="428"/>
      <c r="U29" s="428"/>
      <c r="V29" s="428"/>
    </row>
    <row r="31" customFormat="false" ht="15.75" hidden="false" customHeight="false" outlineLevel="0" collapsed="false">
      <c r="A31" s="497" t="s">
        <v>578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</row>
    <row r="32" customFormat="false" ht="13.5" hidden="false" customHeight="false" outlineLevel="0" collapsed="false">
      <c r="A32" s="881" t="s">
        <v>309</v>
      </c>
      <c r="B32" s="821"/>
      <c r="C32" s="882" t="n">
        <v>1</v>
      </c>
      <c r="D32" s="882" t="n">
        <v>2</v>
      </c>
      <c r="E32" s="882" t="n">
        <v>3</v>
      </c>
      <c r="F32" s="882" t="n">
        <v>4</v>
      </c>
      <c r="G32" s="882" t="n">
        <v>5</v>
      </c>
      <c r="H32" s="882" t="n">
        <v>6</v>
      </c>
      <c r="I32" s="882" t="n">
        <v>7</v>
      </c>
      <c r="J32" s="882" t="n">
        <v>8</v>
      </c>
      <c r="K32" s="882" t="n">
        <v>9</v>
      </c>
      <c r="L32" s="882" t="n">
        <v>10</v>
      </c>
      <c r="M32" s="882" t="n">
        <v>11</v>
      </c>
      <c r="N32" s="882" t="n">
        <v>12</v>
      </c>
      <c r="O32" s="882" t="n">
        <v>13</v>
      </c>
      <c r="P32" s="882" t="n">
        <v>14</v>
      </c>
      <c r="Q32" s="883" t="n">
        <v>15</v>
      </c>
    </row>
    <row r="33" customFormat="false" ht="13.5" hidden="false" customHeight="false" outlineLevel="0" collapsed="false">
      <c r="A33" s="18" t="s">
        <v>579</v>
      </c>
      <c r="B33" s="17"/>
      <c r="C33" s="428" t="n">
        <f aca="false">'Pipeline Co DCF'!$Q$17*Scenarios!C32</f>
        <v>352030.951884086</v>
      </c>
      <c r="D33" s="428" t="n">
        <f aca="false">'Pipeline Co DCF'!$Q$17*Scenarios!D32</f>
        <v>704061.903768172</v>
      </c>
      <c r="E33" s="428" t="n">
        <f aca="false">'Pipeline Co DCF'!$Q$17*Scenarios!E32</f>
        <v>1056092.85565226</v>
      </c>
      <c r="F33" s="428" t="n">
        <f aca="false">'Pipeline Co DCF'!$Q$17*Scenarios!F32</f>
        <v>1408123.80753634</v>
      </c>
      <c r="G33" s="428" t="n">
        <f aca="false">'Pipeline Co DCF'!$Q$17*Scenarios!G32</f>
        <v>1760154.75942043</v>
      </c>
      <c r="H33" s="428" t="n">
        <f aca="false">'Pipeline Co DCF'!$Q$17*Scenarios!H32</f>
        <v>2112185.71130452</v>
      </c>
      <c r="I33" s="428" t="n">
        <f aca="false">'Pipeline Co DCF'!$Q$17*Scenarios!I32</f>
        <v>2464216.6631886</v>
      </c>
      <c r="J33" s="428" t="n">
        <f aca="false">'Pipeline Co DCF'!$Q$17*Scenarios!J32</f>
        <v>2816247.61507269</v>
      </c>
      <c r="K33" s="428" t="n">
        <f aca="false">'Pipeline Co DCF'!$Q$17*Scenarios!K32</f>
        <v>3168278.56695677</v>
      </c>
      <c r="L33" s="428" t="n">
        <f aca="false">'Pipeline Co DCF'!$Q$17*Scenarios!L32</f>
        <v>3520309.51884086</v>
      </c>
      <c r="M33" s="428" t="n">
        <f aca="false">'Pipeline Co DCF'!$Q$17*Scenarios!M32</f>
        <v>3872340.47072494</v>
      </c>
      <c r="N33" s="428" t="n">
        <f aca="false">'Pipeline Co DCF'!$Q$17*Scenarios!N32</f>
        <v>4224371.42260903</v>
      </c>
      <c r="O33" s="428" t="n">
        <f aca="false">'Pipeline Co DCF'!$Q$17*Scenarios!O32</f>
        <v>4576402.37449312</v>
      </c>
      <c r="P33" s="428" t="n">
        <f aca="false">'Pipeline Co DCF'!$Q$17*Scenarios!P32</f>
        <v>4928433.3263772</v>
      </c>
      <c r="Q33" s="110" t="n">
        <f aca="false">'Pipeline Co DCF'!$Q$17*Scenarios!Q32</f>
        <v>5280464.27826129</v>
      </c>
    </row>
    <row r="34" customFormat="false" ht="12.75" hidden="false" customHeight="false" outlineLevel="0" collapsed="false">
      <c r="A34" s="18" t="s">
        <v>580</v>
      </c>
      <c r="B34" s="17"/>
      <c r="C34" s="278" t="e">
        <f aca="false">#REF!</f>
        <v>#REF!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67"/>
    </row>
    <row r="35" customFormat="false" ht="12.75" hidden="false" customHeight="false" outlineLevel="0" collapsed="false">
      <c r="A35" s="93" t="s">
        <v>581</v>
      </c>
      <c r="B35" s="103"/>
      <c r="C35" s="884" t="n">
        <v>0.085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23"/>
    </row>
    <row r="36" customFormat="false" ht="12.75" hidden="false" customHeight="false" outlineLevel="0" collapsed="false">
      <c r="A36" s="885" t="s">
        <v>582</v>
      </c>
      <c r="B36" s="103"/>
      <c r="C36" s="880" t="e">
        <f aca="false">(-$C$34/C33)+$C$35</f>
        <v>#REF!</v>
      </c>
      <c r="D36" s="880" t="e">
        <f aca="false">(-$C$34/D33)+$C$35</f>
        <v>#REF!</v>
      </c>
      <c r="E36" s="880" t="e">
        <f aca="false">(-$C$34/E33)+$C$35</f>
        <v>#REF!</v>
      </c>
      <c r="F36" s="880" t="e">
        <f aca="false">(-$C$34/F33)+$C$35</f>
        <v>#REF!</v>
      </c>
      <c r="G36" s="880" t="e">
        <f aca="false">(-$C$34/G33)+$C$35</f>
        <v>#REF!</v>
      </c>
      <c r="H36" s="880" t="e">
        <f aca="false">(-$C$34/H33)+$C$35</f>
        <v>#REF!</v>
      </c>
      <c r="I36" s="880" t="e">
        <f aca="false">(-$C$34/I33)+$C$35</f>
        <v>#REF!</v>
      </c>
      <c r="J36" s="880" t="e">
        <f aca="false">(-$C$34/J33)+$C$35</f>
        <v>#REF!</v>
      </c>
      <c r="K36" s="880" t="e">
        <f aca="false">(-$C$34/K33)+$C$35</f>
        <v>#REF!</v>
      </c>
      <c r="L36" s="880" t="e">
        <f aca="false">(-$C$34/L33)+$C$35</f>
        <v>#REF!</v>
      </c>
      <c r="M36" s="880" t="e">
        <f aca="false">(-$C$34/M33)+$C$35</f>
        <v>#REF!</v>
      </c>
      <c r="N36" s="880" t="e">
        <f aca="false">(-$C$34/N33)+$C$35</f>
        <v>#REF!</v>
      </c>
      <c r="O36" s="880" t="e">
        <f aca="false">(-$C$34/O33)+$C$35</f>
        <v>#REF!</v>
      </c>
      <c r="P36" s="880" t="e">
        <f aca="false">(-$C$34/P33)+$C$35</f>
        <v>#REF!</v>
      </c>
      <c r="Q36" s="886" t="e">
        <f aca="false">(-$C$34/Q33)+$C$35</f>
        <v>#REF!</v>
      </c>
    </row>
    <row r="37" customFormat="false" ht="12.75" hidden="false" customHeight="false" outlineLevel="0" collapsed="false">
      <c r="A37" s="25"/>
      <c r="B37" s="17"/>
      <c r="C37" s="878"/>
      <c r="D37" s="878"/>
      <c r="E37" s="878"/>
      <c r="F37" s="878"/>
      <c r="G37" s="878"/>
      <c r="H37" s="878"/>
      <c r="I37" s="878"/>
      <c r="J37" s="878"/>
      <c r="K37" s="878"/>
      <c r="L37" s="878"/>
      <c r="M37" s="878"/>
      <c r="N37" s="878"/>
      <c r="O37" s="878"/>
      <c r="P37" s="878"/>
      <c r="Q37" s="878"/>
    </row>
    <row r="38" customFormat="false" ht="15.75" hidden="false" customHeight="false" outlineLevel="0" collapsed="false">
      <c r="A38" s="497" t="s">
        <v>583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</row>
    <row r="39" customFormat="false" ht="13.5" hidden="false" customHeight="false" outlineLevel="0" collapsed="false">
      <c r="A39" s="881" t="s">
        <v>309</v>
      </c>
      <c r="B39" s="821"/>
      <c r="C39" s="882" t="n">
        <v>1</v>
      </c>
      <c r="D39" s="882" t="n">
        <v>2</v>
      </c>
      <c r="E39" s="882" t="n">
        <v>3</v>
      </c>
      <c r="F39" s="882" t="n">
        <v>4</v>
      </c>
      <c r="G39" s="882" t="n">
        <v>5</v>
      </c>
      <c r="H39" s="882" t="n">
        <v>6</v>
      </c>
      <c r="I39" s="882" t="n">
        <v>7</v>
      </c>
      <c r="J39" s="882" t="n">
        <v>8</v>
      </c>
      <c r="K39" s="882" t="n">
        <v>9</v>
      </c>
      <c r="L39" s="882" t="n">
        <v>10</v>
      </c>
      <c r="M39" s="882" t="n">
        <v>11</v>
      </c>
      <c r="N39" s="882" t="n">
        <v>12</v>
      </c>
      <c r="O39" s="882" t="n">
        <v>13</v>
      </c>
      <c r="P39" s="882" t="n">
        <v>14</v>
      </c>
      <c r="Q39" s="883" t="n">
        <v>15</v>
      </c>
    </row>
    <row r="40" customFormat="false" ht="13.5" hidden="false" customHeight="false" outlineLevel="0" collapsed="false">
      <c r="A40" s="18" t="s">
        <v>579</v>
      </c>
      <c r="B40" s="17"/>
      <c r="C40" s="428" t="n">
        <f aca="false">'Pipeline Co DCF'!$Q$17*Scenarios!C39</f>
        <v>352030.951884086</v>
      </c>
      <c r="D40" s="428" t="n">
        <f aca="false">'Pipeline Co DCF'!$Q$17*Scenarios!D39</f>
        <v>704061.903768172</v>
      </c>
      <c r="E40" s="428" t="n">
        <f aca="false">'Pipeline Co DCF'!$Q$17*Scenarios!E39</f>
        <v>1056092.85565226</v>
      </c>
      <c r="F40" s="428" t="n">
        <f aca="false">'Pipeline Co DCF'!$Q$17*Scenarios!F39</f>
        <v>1408123.80753634</v>
      </c>
      <c r="G40" s="428" t="n">
        <f aca="false">'Pipeline Co DCF'!$Q$17*Scenarios!G39</f>
        <v>1760154.75942043</v>
      </c>
      <c r="H40" s="428" t="n">
        <f aca="false">'Pipeline Co DCF'!$Q$17*Scenarios!H39</f>
        <v>2112185.71130452</v>
      </c>
      <c r="I40" s="428" t="n">
        <f aca="false">'Pipeline Co DCF'!$Q$17*Scenarios!I39</f>
        <v>2464216.6631886</v>
      </c>
      <c r="J40" s="428" t="n">
        <f aca="false">'Pipeline Co DCF'!$Q$17*Scenarios!J39</f>
        <v>2816247.61507269</v>
      </c>
      <c r="K40" s="428" t="n">
        <f aca="false">'Pipeline Co DCF'!$Q$17*Scenarios!K39</f>
        <v>3168278.56695677</v>
      </c>
      <c r="L40" s="428" t="n">
        <f aca="false">'Pipeline Co DCF'!$Q$17*Scenarios!L39</f>
        <v>3520309.51884086</v>
      </c>
      <c r="M40" s="428" t="n">
        <f aca="false">'Pipeline Co DCF'!$Q$17*Scenarios!M39</f>
        <v>3872340.47072494</v>
      </c>
      <c r="N40" s="428" t="n">
        <f aca="false">'Pipeline Co DCF'!$Q$17*Scenarios!N39</f>
        <v>4224371.42260903</v>
      </c>
      <c r="O40" s="428" t="n">
        <f aca="false">'Pipeline Co DCF'!$Q$17*Scenarios!O39</f>
        <v>4576402.37449312</v>
      </c>
      <c r="P40" s="428" t="n">
        <f aca="false">'Pipeline Co DCF'!$Q$17*Scenarios!P39</f>
        <v>4928433.3263772</v>
      </c>
      <c r="Q40" s="110" t="n">
        <f aca="false">'Pipeline Co DCF'!$Q$17*Scenarios!Q39</f>
        <v>5280464.27826129</v>
      </c>
    </row>
    <row r="41" customFormat="false" ht="12.75" hidden="false" customHeight="false" outlineLevel="0" collapsed="false">
      <c r="A41" s="18" t="s">
        <v>580</v>
      </c>
      <c r="B41" s="17"/>
      <c r="C41" s="278" t="e">
        <f aca="false">#REF!</f>
        <v>#REF!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67"/>
    </row>
    <row r="42" customFormat="false" ht="12.75" hidden="false" customHeight="false" outlineLevel="0" collapsed="false">
      <c r="A42" s="93" t="s">
        <v>581</v>
      </c>
      <c r="B42" s="103"/>
      <c r="C42" s="884" t="n">
        <v>0.125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23"/>
    </row>
    <row r="43" customFormat="false" ht="12.75" hidden="false" customHeight="false" outlineLevel="0" collapsed="false">
      <c r="A43" s="118" t="s">
        <v>582</v>
      </c>
      <c r="B43" s="299"/>
      <c r="C43" s="887" t="e">
        <f aca="false">(-$C$34/C40)+$C$42</f>
        <v>#REF!</v>
      </c>
      <c r="D43" s="887" t="e">
        <f aca="false">(-$C$34/D40)+$C$42</f>
        <v>#REF!</v>
      </c>
      <c r="E43" s="887" t="e">
        <f aca="false">(-$C$34/E40)+$C$42</f>
        <v>#REF!</v>
      </c>
      <c r="F43" s="887" t="e">
        <f aca="false">(-$C$34/F40)+$C$42</f>
        <v>#REF!</v>
      </c>
      <c r="G43" s="887" t="e">
        <f aca="false">(-$C$34/G40)+$C$42</f>
        <v>#REF!</v>
      </c>
      <c r="H43" s="887" t="e">
        <f aca="false">(-$C$34/H40)+$C$42</f>
        <v>#REF!</v>
      </c>
      <c r="I43" s="887" t="e">
        <f aca="false">(-$C$34/I40)+$C$42</f>
        <v>#REF!</v>
      </c>
      <c r="J43" s="887" t="e">
        <f aca="false">(-$C$34/J40)+$C$42</f>
        <v>#REF!</v>
      </c>
      <c r="K43" s="887" t="e">
        <f aca="false">(-$C$34/K40)+$C$42</f>
        <v>#REF!</v>
      </c>
      <c r="L43" s="887" t="e">
        <f aca="false">(-$C$34/L40)+$C$42</f>
        <v>#REF!</v>
      </c>
      <c r="M43" s="887" t="e">
        <f aca="false">(-$C$34/M40)+$C$42</f>
        <v>#REF!</v>
      </c>
      <c r="N43" s="887" t="e">
        <f aca="false">(-$C$34/N40)+$C$42</f>
        <v>#REF!</v>
      </c>
      <c r="O43" s="887" t="e">
        <f aca="false">(-$C$34/O40)+$C$42</f>
        <v>#REF!</v>
      </c>
      <c r="P43" s="887" t="e">
        <f aca="false">(-$C$34/P40)+$C$42</f>
        <v>#REF!</v>
      </c>
      <c r="Q43" s="888" t="e">
        <f aca="false">(-$C$34/Q40)+$C$42</f>
        <v>#REF!</v>
      </c>
    </row>
    <row r="45" customFormat="false" ht="12.75" hidden="true" customHeight="false" outlineLevel="1" collapsed="false">
      <c r="A45" s="73" t="s">
        <v>110</v>
      </c>
      <c r="B45" s="889" t="n">
        <v>0.075</v>
      </c>
    </row>
    <row r="46" customFormat="false" ht="12.75" hidden="true" customHeight="false" outlineLevel="1" collapsed="false">
      <c r="A46" s="93" t="s">
        <v>584</v>
      </c>
      <c r="B46" s="890" t="n">
        <v>0.6</v>
      </c>
    </row>
    <row r="47" customFormat="false" ht="12.75" hidden="true" customHeight="false" outlineLevel="1" collapsed="false"/>
    <row r="48" customFormat="false" ht="15.75" hidden="false" customHeight="false" outlineLevel="0" collapsed="false">
      <c r="A48" s="497" t="s">
        <v>585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449"/>
      <c r="O48" s="449"/>
      <c r="P48" s="449"/>
      <c r="Q48" s="449"/>
    </row>
    <row r="49" customFormat="false" ht="12.75" hidden="false" customHeight="false" outlineLevel="0" collapsed="false">
      <c r="A49" s="73"/>
      <c r="B49" s="74"/>
      <c r="C49" s="891" t="s">
        <v>586</v>
      </c>
      <c r="D49" s="891"/>
      <c r="E49" s="891"/>
      <c r="F49" s="891"/>
      <c r="G49" s="891"/>
      <c r="H49" s="891"/>
      <c r="I49" s="891"/>
      <c r="J49" s="891"/>
      <c r="K49" s="891"/>
      <c r="L49" s="891"/>
      <c r="M49" s="891"/>
    </row>
    <row r="50" customFormat="false" ht="13.5" hidden="false" customHeight="false" outlineLevel="0" collapsed="false">
      <c r="A50" s="18"/>
      <c r="B50" s="892" t="e">
        <f aca="false">'Lev. Consolid'!G9</f>
        <v>#REF!</v>
      </c>
      <c r="C50" s="893" t="n">
        <v>0</v>
      </c>
      <c r="D50" s="893" t="n">
        <v>0.1</v>
      </c>
      <c r="E50" s="893" t="n">
        <v>0.2</v>
      </c>
      <c r="F50" s="893" t="n">
        <v>0.3</v>
      </c>
      <c r="G50" s="893" t="n">
        <v>0.4</v>
      </c>
      <c r="H50" s="893" t="n">
        <v>0.5</v>
      </c>
      <c r="I50" s="893" t="n">
        <v>0.6</v>
      </c>
      <c r="J50" s="893" t="n">
        <v>0.7</v>
      </c>
      <c r="K50" s="893" t="n">
        <v>0.8</v>
      </c>
      <c r="L50" s="893" t="n">
        <v>0.9</v>
      </c>
      <c r="M50" s="894" t="n">
        <v>1</v>
      </c>
    </row>
    <row r="51" customFormat="false" ht="13.5" hidden="false" customHeight="false" outlineLevel="0" collapsed="false">
      <c r="A51" s="18"/>
      <c r="B51" s="895" t="n">
        <v>0.06</v>
      </c>
      <c r="C51" s="683" t="e">
        <f aca="true">TABLE($B$50,$B$45,$B51,$B$46,C$50)</f>
        <v>#REF!</v>
      </c>
      <c r="D51" s="683" t="e">
        <f aca="true">TABLE($B$50,$B$45,$B51,$B$46,D$50)</f>
        <v>#REF!</v>
      </c>
      <c r="E51" s="683" t="e">
        <f aca="true">TABLE($B$50,$B$45,$B51,$B$46,E$50)</f>
        <v>#REF!</v>
      </c>
      <c r="F51" s="683" t="e">
        <f aca="true">TABLE($B$50,$B$45,$B51,$B$46,F$50)</f>
        <v>#REF!</v>
      </c>
      <c r="G51" s="683" t="e">
        <f aca="true">TABLE($B$50,$B$45,$B51,$B$46,G$50)</f>
        <v>#REF!</v>
      </c>
      <c r="H51" s="683" t="e">
        <f aca="true">TABLE($B$50,$B$45,$B51,$B$46,H$50)</f>
        <v>#REF!</v>
      </c>
      <c r="I51" s="683" t="e">
        <f aca="true">TABLE($B$50,$B$45,$B51,$B$46,I$50)</f>
        <v>#REF!</v>
      </c>
      <c r="J51" s="683" t="e">
        <f aca="true">TABLE($B$50,$B$45,$B51,$B$46,J$50)</f>
        <v>#REF!</v>
      </c>
      <c r="K51" s="683" t="e">
        <f aca="true">TABLE($B$50,$B$45,$B51,$B$46,K$50)</f>
        <v>#REF!</v>
      </c>
      <c r="L51" s="683" t="e">
        <f aca="true">TABLE($B$50,$B$45,$B51,$B$46,L$50)</f>
        <v>#REF!</v>
      </c>
      <c r="M51" s="896" t="e">
        <f aca="true">TABLE($B$50,$B$45,$B51,$B$46,M$50)</f>
        <v>#REF!</v>
      </c>
    </row>
    <row r="52" customFormat="false" ht="12.75" hidden="false" customHeight="false" outlineLevel="0" collapsed="false">
      <c r="A52" s="18"/>
      <c r="B52" s="895" t="n">
        <v>0.065</v>
      </c>
      <c r="C52" s="683" t="e">
        <f aca="true">TABLE($B$50,$B$45,$B52,$B$46,C$50)</f>
        <v>#REF!</v>
      </c>
      <c r="D52" s="683" t="e">
        <f aca="true">TABLE($B$50,$B$45,$B52,$B$46,D$50)</f>
        <v>#REF!</v>
      </c>
      <c r="E52" s="683" t="e">
        <f aca="true">TABLE($B$50,$B$45,$B52,$B$46,E$50)</f>
        <v>#REF!</v>
      </c>
      <c r="F52" s="683" t="e">
        <f aca="true">TABLE($B$50,$B$45,$B52,$B$46,F$50)</f>
        <v>#REF!</v>
      </c>
      <c r="G52" s="683" t="e">
        <f aca="true">TABLE($B$50,$B$45,$B52,$B$46,G$50)</f>
        <v>#REF!</v>
      </c>
      <c r="H52" s="683" t="e">
        <f aca="true">TABLE($B$50,$B$45,$B52,$B$46,H$50)</f>
        <v>#REF!</v>
      </c>
      <c r="I52" s="683" t="e">
        <f aca="true">TABLE($B$50,$B$45,$B52,$B$46,I$50)</f>
        <v>#REF!</v>
      </c>
      <c r="J52" s="683" t="e">
        <f aca="true">TABLE($B$50,$B$45,$B52,$B$46,J$50)</f>
        <v>#REF!</v>
      </c>
      <c r="K52" s="683" t="e">
        <f aca="true">TABLE($B$50,$B$45,$B52,$B$46,K$50)</f>
        <v>#REF!</v>
      </c>
      <c r="L52" s="683" t="e">
        <f aca="true">TABLE($B$50,$B$45,$B52,$B$46,L$50)</f>
        <v>#REF!</v>
      </c>
      <c r="M52" s="896" t="e">
        <f aca="true">TABLE($B$50,$B$45,$B52,$B$46,M$50)</f>
        <v>#REF!</v>
      </c>
    </row>
    <row r="53" customFormat="false" ht="12.75" hidden="false" customHeight="false" outlineLevel="0" collapsed="false">
      <c r="A53" s="18"/>
      <c r="B53" s="895" t="n">
        <v>0.07</v>
      </c>
      <c r="C53" s="683" t="e">
        <f aca="true">TABLE($B$50,$B$45,$B53,$B$46,C$50)</f>
        <v>#REF!</v>
      </c>
      <c r="D53" s="683" t="e">
        <f aca="true">TABLE($B$50,$B$45,$B53,$B$46,D$50)</f>
        <v>#REF!</v>
      </c>
      <c r="E53" s="683" t="e">
        <f aca="true">TABLE($B$50,$B$45,$B53,$B$46,E$50)</f>
        <v>#REF!</v>
      </c>
      <c r="F53" s="683" t="e">
        <f aca="true">TABLE($B$50,$B$45,$B53,$B$46,F$50)</f>
        <v>#REF!</v>
      </c>
      <c r="G53" s="683" t="e">
        <f aca="true">TABLE($B$50,$B$45,$B53,$B$46,G$50)</f>
        <v>#REF!</v>
      </c>
      <c r="H53" s="139" t="e">
        <f aca="true">TABLE($B$50,$B$45,$B53,$B$46,H$50)</f>
        <v>#REF!</v>
      </c>
      <c r="I53" s="139" t="e">
        <f aca="true">TABLE($B$50,$B$45,$B53,$B$46,I$50)</f>
        <v>#REF!</v>
      </c>
      <c r="J53" s="139" t="e">
        <f aca="true">TABLE($B$50,$B$45,$B53,$B$46,J$50)</f>
        <v>#REF!</v>
      </c>
      <c r="K53" s="683" t="e">
        <f aca="true">TABLE($B$50,$B$45,$B53,$B$46,K$50)</f>
        <v>#REF!</v>
      </c>
      <c r="L53" s="683" t="e">
        <f aca="true">TABLE($B$50,$B$45,$B53,$B$46,L$50)</f>
        <v>#REF!</v>
      </c>
      <c r="M53" s="896" t="e">
        <f aca="true">TABLE($B$50,$B$45,$B53,$B$46,M$50)</f>
        <v>#REF!</v>
      </c>
    </row>
    <row r="54" customFormat="false" ht="12.75" hidden="false" customHeight="false" outlineLevel="0" collapsed="false">
      <c r="A54" s="18"/>
      <c r="B54" s="895" t="n">
        <v>0.075</v>
      </c>
      <c r="C54" s="683" t="e">
        <f aca="true">TABLE($B$50,$B$45,$B54,$B$46,C$50)</f>
        <v>#REF!</v>
      </c>
      <c r="D54" s="683" t="e">
        <f aca="true">TABLE($B$50,$B$45,$B54,$B$46,D$50)</f>
        <v>#REF!</v>
      </c>
      <c r="E54" s="683" t="e">
        <f aca="true">TABLE($B$50,$B$45,$B54,$B$46,E$50)</f>
        <v>#REF!</v>
      </c>
      <c r="F54" s="683" t="e">
        <f aca="true">TABLE($B$50,$B$45,$B54,$B$46,F$50)</f>
        <v>#REF!</v>
      </c>
      <c r="G54" s="683" t="e">
        <f aca="true">TABLE($B$50,$B$45,$B54,$B$46,G$50)</f>
        <v>#REF!</v>
      </c>
      <c r="H54" s="897" t="e">
        <f aca="true">TABLE($B$50,$B$45,$B54,$B$46,H$50)</f>
        <v>#REF!</v>
      </c>
      <c r="I54" s="897" t="e">
        <f aca="true">TABLE($B$50,$B$45,$B54,$B$46,I$50)</f>
        <v>#REF!</v>
      </c>
      <c r="J54" s="897" t="e">
        <f aca="true">TABLE($B$50,$B$45,$B54,$B$46,J$50)</f>
        <v>#REF!</v>
      </c>
      <c r="K54" s="683" t="e">
        <f aca="true">TABLE($B$50,$B$45,$B54,$B$46,K$50)</f>
        <v>#REF!</v>
      </c>
      <c r="L54" s="683" t="e">
        <f aca="true">TABLE($B$50,$B$45,$B54,$B$46,L$50)</f>
        <v>#REF!</v>
      </c>
      <c r="M54" s="896" t="e">
        <f aca="true">TABLE($B$50,$B$45,$B54,$B$46,M$50)</f>
        <v>#REF!</v>
      </c>
    </row>
    <row r="55" customFormat="false" ht="12.75" hidden="false" customHeight="false" outlineLevel="0" collapsed="false">
      <c r="A55" s="898" t="s">
        <v>587</v>
      </c>
      <c r="B55" s="895" t="n">
        <v>0.08</v>
      </c>
      <c r="C55" s="683" t="e">
        <f aca="true">TABLE($B$50,$B$45,$B55,$B$46,C$50)</f>
        <v>#REF!</v>
      </c>
      <c r="D55" s="683" t="e">
        <f aca="true">TABLE($B$50,$B$45,$B55,$B$46,D$50)</f>
        <v>#REF!</v>
      </c>
      <c r="E55" s="683" t="e">
        <f aca="true">TABLE($B$50,$B$45,$B55,$B$46,E$50)</f>
        <v>#REF!</v>
      </c>
      <c r="F55" s="683" t="e">
        <f aca="true">TABLE($B$50,$B$45,$B55,$B$46,F$50)</f>
        <v>#REF!</v>
      </c>
      <c r="G55" s="683" t="e">
        <f aca="true">TABLE($B$50,$B$45,$B55,$B$46,G$50)</f>
        <v>#REF!</v>
      </c>
      <c r="H55" s="897" t="e">
        <f aca="true">TABLE($B$50,$B$45,$B55,$B$46,H$50)</f>
        <v>#REF!</v>
      </c>
      <c r="I55" s="897" t="e">
        <f aca="true">TABLE($B$50,$B$45,$B55,$B$46,I$50)</f>
        <v>#REF!</v>
      </c>
      <c r="J55" s="897" t="e">
        <f aca="true">TABLE($B$50,$B$45,$B55,$B$46,J$50)</f>
        <v>#REF!</v>
      </c>
      <c r="K55" s="683" t="e">
        <f aca="true">TABLE($B$50,$B$45,$B55,$B$46,K$50)</f>
        <v>#REF!</v>
      </c>
      <c r="L55" s="683" t="e">
        <f aca="true">TABLE($B$50,$B$45,$B55,$B$46,L$50)</f>
        <v>#REF!</v>
      </c>
      <c r="M55" s="896" t="e">
        <f aca="true">TABLE($B$50,$B$45,$B55,$B$46,M$50)</f>
        <v>#REF!</v>
      </c>
    </row>
    <row r="56" customFormat="false" ht="12.75" hidden="false" customHeight="false" outlineLevel="0" collapsed="false">
      <c r="A56" s="898" t="s">
        <v>184</v>
      </c>
      <c r="B56" s="895" t="n">
        <v>0.085</v>
      </c>
      <c r="C56" s="683" t="e">
        <f aca="true">TABLE($B$50,$B$45,$B56,$B$46,C$50)</f>
        <v>#REF!</v>
      </c>
      <c r="D56" s="683" t="e">
        <f aca="true">TABLE($B$50,$B$45,$B56,$B$46,D$50)</f>
        <v>#REF!</v>
      </c>
      <c r="E56" s="683" t="e">
        <f aca="true">TABLE($B$50,$B$45,$B56,$B$46,E$50)</f>
        <v>#REF!</v>
      </c>
      <c r="F56" s="683" t="e">
        <f aca="true">TABLE($B$50,$B$45,$B56,$B$46,F$50)</f>
        <v>#REF!</v>
      </c>
      <c r="G56" s="683" t="e">
        <f aca="true">TABLE($B$50,$B$45,$B56,$B$46,G$50)</f>
        <v>#REF!</v>
      </c>
      <c r="H56" s="277" t="e">
        <f aca="true">TABLE($B$50,$B$45,$B56,$B$46,H$50)</f>
        <v>#REF!</v>
      </c>
      <c r="I56" s="277" t="e">
        <f aca="true">TABLE($B$50,$B$45,$B56,$B$46,I$50)</f>
        <v>#REF!</v>
      </c>
      <c r="J56" s="277" t="e">
        <f aca="true">TABLE($B$50,$B$45,$B56,$B$46,J$50)</f>
        <v>#REF!</v>
      </c>
      <c r="K56" s="683" t="e">
        <f aca="true">TABLE($B$50,$B$45,$B56,$B$46,K$50)</f>
        <v>#REF!</v>
      </c>
      <c r="L56" s="683" t="e">
        <f aca="true">TABLE($B$50,$B$45,$B56,$B$46,L$50)</f>
        <v>#REF!</v>
      </c>
      <c r="M56" s="896" t="e">
        <f aca="true">TABLE($B$50,$B$45,$B56,$B$46,M$50)</f>
        <v>#REF!</v>
      </c>
    </row>
    <row r="57" customFormat="false" ht="12.75" hidden="false" customHeight="false" outlineLevel="0" collapsed="false">
      <c r="A57" s="18"/>
      <c r="B57" s="895" t="n">
        <v>0.09</v>
      </c>
      <c r="C57" s="683" t="e">
        <f aca="true">TABLE($B$50,$B$45,$B57,$B$46,C$50)</f>
        <v>#REF!</v>
      </c>
      <c r="D57" s="683" t="e">
        <f aca="true">TABLE($B$50,$B$45,$B57,$B$46,D$50)</f>
        <v>#REF!</v>
      </c>
      <c r="E57" s="683" t="e">
        <f aca="true">TABLE($B$50,$B$45,$B57,$B$46,E$50)</f>
        <v>#REF!</v>
      </c>
      <c r="F57" s="683" t="e">
        <f aca="true">TABLE($B$50,$B$45,$B57,$B$46,F$50)</f>
        <v>#REF!</v>
      </c>
      <c r="G57" s="683" t="e">
        <f aca="true">TABLE($B$50,$B$45,$B57,$B$46,G$50)</f>
        <v>#REF!</v>
      </c>
      <c r="H57" s="683" t="e">
        <f aca="true">TABLE($B$50,$B$45,$B57,$B$46,H$50)</f>
        <v>#REF!</v>
      </c>
      <c r="I57" s="683" t="e">
        <f aca="true">TABLE($B$50,$B$45,$B57,$B$46,I$50)</f>
        <v>#REF!</v>
      </c>
      <c r="J57" s="683" t="e">
        <f aca="true">TABLE($B$50,$B$45,$B57,$B$46,J$50)</f>
        <v>#REF!</v>
      </c>
      <c r="K57" s="683" t="e">
        <f aca="true">TABLE($B$50,$B$45,$B57,$B$46,K$50)</f>
        <v>#REF!</v>
      </c>
      <c r="L57" s="683" t="e">
        <f aca="true">TABLE($B$50,$B$45,$B57,$B$46,L$50)</f>
        <v>#REF!</v>
      </c>
      <c r="M57" s="896" t="e">
        <f aca="true">TABLE($B$50,$B$45,$B57,$B$46,M$50)</f>
        <v>#REF!</v>
      </c>
    </row>
    <row r="58" customFormat="false" ht="12.75" hidden="false" customHeight="false" outlineLevel="0" collapsed="false">
      <c r="A58" s="18"/>
      <c r="B58" s="895" t="n">
        <v>0.095</v>
      </c>
      <c r="C58" s="683" t="e">
        <f aca="true">TABLE($B$50,$B$45,$B58,$B$46,C$50)</f>
        <v>#REF!</v>
      </c>
      <c r="D58" s="683" t="e">
        <f aca="true">TABLE($B$50,$B$45,$B58,$B$46,D$50)</f>
        <v>#REF!</v>
      </c>
      <c r="E58" s="683" t="e">
        <f aca="true">TABLE($B$50,$B$45,$B58,$B$46,E$50)</f>
        <v>#REF!</v>
      </c>
      <c r="F58" s="683" t="e">
        <f aca="true">TABLE($B$50,$B$45,$B58,$B$46,F$50)</f>
        <v>#REF!</v>
      </c>
      <c r="G58" s="683" t="e">
        <f aca="true">TABLE($B$50,$B$45,$B58,$B$46,G$50)</f>
        <v>#REF!</v>
      </c>
      <c r="H58" s="683" t="e">
        <f aca="true">TABLE($B$50,$B$45,$B58,$B$46,H$50)</f>
        <v>#REF!</v>
      </c>
      <c r="I58" s="683" t="e">
        <f aca="true">TABLE($B$50,$B$45,$B58,$B$46,I$50)</f>
        <v>#REF!</v>
      </c>
      <c r="J58" s="683" t="e">
        <f aca="true">TABLE($B$50,$B$45,$B58,$B$46,J$50)</f>
        <v>#REF!</v>
      </c>
      <c r="K58" s="683" t="e">
        <f aca="true">TABLE($B$50,$B$45,$B58,$B$46,K$50)</f>
        <v>#REF!</v>
      </c>
      <c r="L58" s="683" t="e">
        <f aca="true">TABLE($B$50,$B$45,$B58,$B$46,L$50)</f>
        <v>#REF!</v>
      </c>
      <c r="M58" s="896" t="e">
        <f aca="true">TABLE($B$50,$B$45,$B58,$B$46,M$50)</f>
        <v>#REF!</v>
      </c>
    </row>
    <row r="59" customFormat="false" ht="12.75" hidden="false" customHeight="false" outlineLevel="0" collapsed="false">
      <c r="A59" s="18"/>
      <c r="B59" s="895" t="n">
        <v>0.1</v>
      </c>
      <c r="C59" s="683" t="e">
        <f aca="true">TABLE($B$50,$B$45,$B59,$B$46,C$50)</f>
        <v>#REF!</v>
      </c>
      <c r="D59" s="683" t="e">
        <f aca="true">TABLE($B$50,$B$45,$B59,$B$46,D$50)</f>
        <v>#REF!</v>
      </c>
      <c r="E59" s="683" t="e">
        <f aca="true">TABLE($B$50,$B$45,$B59,$B$46,E$50)</f>
        <v>#REF!</v>
      </c>
      <c r="F59" s="683" t="e">
        <f aca="true">TABLE($B$50,$B$45,$B59,$B$46,F$50)</f>
        <v>#REF!</v>
      </c>
      <c r="G59" s="683" t="e">
        <f aca="true">TABLE($B$50,$B$45,$B59,$B$46,G$50)</f>
        <v>#REF!</v>
      </c>
      <c r="H59" s="683" t="e">
        <f aca="true">TABLE($B$50,$B$45,$B59,$B$46,H$50)</f>
        <v>#REF!</v>
      </c>
      <c r="I59" s="683" t="e">
        <f aca="true">TABLE($B$50,$B$45,$B59,$B$46,I$50)</f>
        <v>#REF!</v>
      </c>
      <c r="J59" s="683" t="e">
        <f aca="true">TABLE($B$50,$B$45,$B59,$B$46,J$50)</f>
        <v>#REF!</v>
      </c>
      <c r="K59" s="683" t="e">
        <f aca="true">TABLE($B$50,$B$45,$B59,$B$46,K$50)</f>
        <v>#REF!</v>
      </c>
      <c r="L59" s="683" t="e">
        <f aca="true">TABLE($B$50,$B$45,$B59,$B$46,L$50)</f>
        <v>#REF!</v>
      </c>
      <c r="M59" s="896" t="e">
        <f aca="true">TABLE($B$50,$B$45,$B59,$B$46,M$50)</f>
        <v>#REF!</v>
      </c>
    </row>
    <row r="60" customFormat="false" ht="12.75" hidden="false" customHeight="false" outlineLevel="0" collapsed="false">
      <c r="A60" s="18"/>
      <c r="B60" s="895" t="n">
        <v>0.105</v>
      </c>
      <c r="C60" s="683" t="e">
        <f aca="true">TABLE($B$50,$B$45,$B60,$B$46,C$50)</f>
        <v>#REF!</v>
      </c>
      <c r="D60" s="683" t="e">
        <f aca="true">TABLE($B$50,$B$45,$B60,$B$46,D$50)</f>
        <v>#REF!</v>
      </c>
      <c r="E60" s="683" t="e">
        <f aca="true">TABLE($B$50,$B$45,$B60,$B$46,E$50)</f>
        <v>#REF!</v>
      </c>
      <c r="F60" s="683" t="e">
        <f aca="true">TABLE($B$50,$B$45,$B60,$B$46,F$50)</f>
        <v>#REF!</v>
      </c>
      <c r="G60" s="683" t="e">
        <f aca="true">TABLE($B$50,$B$45,$B60,$B$46,G$50)</f>
        <v>#REF!</v>
      </c>
      <c r="H60" s="683" t="e">
        <f aca="true">TABLE($B$50,$B$45,$B60,$B$46,H$50)</f>
        <v>#REF!</v>
      </c>
      <c r="I60" s="683" t="e">
        <f aca="true">TABLE($B$50,$B$45,$B60,$B$46,I$50)</f>
        <v>#REF!</v>
      </c>
      <c r="J60" s="683" t="e">
        <f aca="true">TABLE($B$50,$B$45,$B60,$B$46,J$50)</f>
        <v>#REF!</v>
      </c>
      <c r="K60" s="683" t="e">
        <f aca="true">TABLE($B$50,$B$45,$B60,$B$46,K$50)</f>
        <v>#REF!</v>
      </c>
      <c r="L60" s="683" t="e">
        <f aca="true">TABLE($B$50,$B$45,$B60,$B$46,L$50)</f>
        <v>#REF!</v>
      </c>
      <c r="M60" s="896" t="e">
        <f aca="true">TABLE($B$50,$B$45,$B60,$B$46,M$50)</f>
        <v>#REF!</v>
      </c>
    </row>
    <row r="61" customFormat="false" ht="12.75" hidden="false" customHeight="false" outlineLevel="0" collapsed="false">
      <c r="A61" s="93"/>
      <c r="B61" s="899" t="n">
        <v>0.11</v>
      </c>
      <c r="C61" s="900" t="e">
        <f aca="true">TABLE($B$50,$B$45,$B61,$B$46,C$50)</f>
        <v>#REF!</v>
      </c>
      <c r="D61" s="900" t="e">
        <f aca="true">TABLE($B$50,$B$45,$B61,$B$46,D$50)</f>
        <v>#REF!</v>
      </c>
      <c r="E61" s="900" t="e">
        <f aca="true">TABLE($B$50,$B$45,$B61,$B$46,E$50)</f>
        <v>#REF!</v>
      </c>
      <c r="F61" s="900" t="e">
        <f aca="true">TABLE($B$50,$B$45,$B61,$B$46,F$50)</f>
        <v>#REF!</v>
      </c>
      <c r="G61" s="900" t="e">
        <f aca="true">TABLE($B$50,$B$45,$B61,$B$46,G$50)</f>
        <v>#REF!</v>
      </c>
      <c r="H61" s="900" t="e">
        <f aca="true">TABLE($B$50,$B$45,$B61,$B$46,H$50)</f>
        <v>#REF!</v>
      </c>
      <c r="I61" s="900" t="e">
        <f aca="true">TABLE($B$50,$B$45,$B61,$B$46,I$50)</f>
        <v>#REF!</v>
      </c>
      <c r="J61" s="900" t="e">
        <f aca="true">TABLE($B$50,$B$45,$B61,$B$46,J$50)</f>
        <v>#REF!</v>
      </c>
      <c r="K61" s="900" t="e">
        <f aca="true">TABLE($B$50,$B$45,$B61,$B$46,K$50)</f>
        <v>#REF!</v>
      </c>
      <c r="L61" s="900" t="e">
        <f aca="true">TABLE($B$50,$B$45,$B61,$B$46,L$50)</f>
        <v>#REF!</v>
      </c>
      <c r="M61" s="901" t="e">
        <f aca="true">TABLE($B$50,$B$45,$B61,$B$46,M$50)</f>
        <v>#REF!</v>
      </c>
    </row>
  </sheetData>
  <mergeCells count="2">
    <mergeCell ref="C10:M10"/>
    <mergeCell ref="C49:M49"/>
  </mergeCells>
  <printOptions headings="false" gridLines="false" gridLinesSet="true" horizontalCentered="false" verticalCentered="false"/>
  <pageMargins left="0.440277777777778" right="0.170138888888889" top="0.7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3" activeCellId="0" sqref="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42"/>
    <col collapsed="false" customWidth="true" hidden="false" outlineLevel="0" max="3" min="2" style="0" width="12.85"/>
    <col collapsed="false" customWidth="true" hidden="false" outlineLevel="0" max="4" min="4" style="0" width="12.7"/>
    <col collapsed="false" customWidth="true" hidden="false" outlineLevel="0" max="5" min="5" style="0" width="9.85"/>
  </cols>
  <sheetData>
    <row r="1" customFormat="false" ht="18" hidden="false" customHeight="false" outlineLevel="0" collapsed="false">
      <c r="A1" s="902" t="str">
        <f aca="false">Assumptions!D7</f>
        <v>Wolverine</v>
      </c>
      <c r="B1" s="53"/>
    </row>
    <row r="2" customFormat="false" ht="15.75" hidden="false" customHeight="false" outlineLevel="0" collapsed="false">
      <c r="A2" s="903" t="s">
        <v>588</v>
      </c>
      <c r="B2" s="53"/>
    </row>
    <row r="3" customFormat="false" ht="12.75" hidden="false" customHeight="false" outlineLevel="0" collapsed="false">
      <c r="B3" s="228"/>
    </row>
    <row r="4" customFormat="false" ht="12.75" hidden="false" customHeight="false" outlineLevel="0" collapsed="false">
      <c r="A4" s="904"/>
      <c r="B4" s="905" t="n">
        <v>36708</v>
      </c>
      <c r="C4" s="906" t="s">
        <v>589</v>
      </c>
      <c r="D4" s="906" t="s">
        <v>590</v>
      </c>
    </row>
    <row r="5" customFormat="false" ht="12.75" hidden="false" customHeight="false" outlineLevel="0" collapsed="false">
      <c r="A5" s="371"/>
      <c r="B5" s="907"/>
      <c r="C5" s="906"/>
      <c r="D5" s="906"/>
    </row>
    <row r="6" customFormat="false" ht="12.75" hidden="false" customHeight="false" outlineLevel="0" collapsed="false">
      <c r="A6" s="0" t="s">
        <v>591</v>
      </c>
    </row>
    <row r="7" customFormat="false" ht="12.75" hidden="false" customHeight="false" outlineLevel="0" collapsed="false">
      <c r="A7" s="0" t="s">
        <v>592</v>
      </c>
    </row>
    <row r="8" customFormat="false" ht="12.75" hidden="false" customHeight="false" outlineLevel="0" collapsed="false">
      <c r="A8" s="908" t="s">
        <v>593</v>
      </c>
      <c r="B8" s="459"/>
      <c r="C8" s="95"/>
      <c r="D8" s="95"/>
      <c r="E8" s="95"/>
    </row>
    <row r="9" customFormat="false" ht="12.75" hidden="false" customHeight="false" outlineLevel="0" collapsed="false">
      <c r="A9" s="908" t="s">
        <v>594</v>
      </c>
      <c r="B9" s="459" t="n">
        <v>-1535</v>
      </c>
      <c r="C9" s="95" t="n">
        <v>0</v>
      </c>
      <c r="D9" s="443" t="n">
        <f aca="false">SUM(B9:C9)</f>
        <v>-1535</v>
      </c>
      <c r="E9" s="95"/>
    </row>
    <row r="10" customFormat="false" ht="12.75" hidden="false" customHeight="false" outlineLevel="0" collapsed="false">
      <c r="A10" s="908" t="s">
        <v>595</v>
      </c>
      <c r="B10" s="459" t="n">
        <v>2763</v>
      </c>
      <c r="C10" s="95" t="n">
        <v>0</v>
      </c>
      <c r="D10" s="443" t="n">
        <f aca="false">SUM(B10:C10)</f>
        <v>2763</v>
      </c>
      <c r="E10" s="95"/>
    </row>
    <row r="11" customFormat="false" ht="12.75" hidden="false" customHeight="false" outlineLevel="0" collapsed="false">
      <c r="A11" s="0" t="s">
        <v>596</v>
      </c>
      <c r="B11" s="595" t="n">
        <v>7</v>
      </c>
      <c r="C11" s="443" t="n">
        <v>0</v>
      </c>
      <c r="D11" s="443" t="n">
        <f aca="false">SUM(B11:C11)</f>
        <v>7</v>
      </c>
      <c r="E11" s="95"/>
    </row>
    <row r="12" customFormat="false" ht="12.75" hidden="false" customHeight="false" outlineLevel="0" collapsed="false">
      <c r="A12" s="908" t="s">
        <v>597</v>
      </c>
      <c r="B12" s="459" t="n">
        <v>27020</v>
      </c>
      <c r="C12" s="443" t="n">
        <v>0</v>
      </c>
      <c r="D12" s="443" t="n">
        <f aca="false">SUM(B12:C12)</f>
        <v>27020</v>
      </c>
      <c r="E12" s="95"/>
    </row>
    <row r="13" customFormat="false" ht="12.75" hidden="false" customHeight="false" outlineLevel="0" collapsed="false">
      <c r="A13" s="908" t="s">
        <v>598</v>
      </c>
      <c r="B13" s="459" t="n">
        <v>9110</v>
      </c>
      <c r="C13" s="443" t="n">
        <v>0</v>
      </c>
      <c r="D13" s="443" t="n">
        <f aca="false">SUM(B13:C13)</f>
        <v>9110</v>
      </c>
      <c r="E13" s="95"/>
    </row>
    <row r="14" customFormat="false" ht="12.75" hidden="false" customHeight="false" outlineLevel="0" collapsed="false">
      <c r="A14" s="908" t="s">
        <v>599</v>
      </c>
      <c r="B14" s="459" t="n">
        <v>0</v>
      </c>
      <c r="C14" s="443" t="n">
        <v>0</v>
      </c>
      <c r="D14" s="443" t="n">
        <f aca="false">SUM(B14:C14)</f>
        <v>0</v>
      </c>
      <c r="E14" s="95"/>
    </row>
    <row r="15" customFormat="false" ht="15" hidden="false" customHeight="false" outlineLevel="0" collapsed="false">
      <c r="A15" s="908" t="s">
        <v>600</v>
      </c>
      <c r="B15" s="909" t="n">
        <v>10850</v>
      </c>
      <c r="C15" s="446" t="n">
        <v>0</v>
      </c>
      <c r="D15" s="446" t="n">
        <f aca="false">SUM(B15:C15)</f>
        <v>10850</v>
      </c>
      <c r="E15" s="95"/>
    </row>
    <row r="16" customFormat="false" ht="12.75" hidden="false" customHeight="false" outlineLevel="0" collapsed="false">
      <c r="A16" s="138" t="s">
        <v>601</v>
      </c>
      <c r="B16" s="910" t="n">
        <f aca="false">SUM(B9:B15)</f>
        <v>48215</v>
      </c>
      <c r="C16" s="910" t="n">
        <f aca="false">SUM(C9:C15)</f>
        <v>0</v>
      </c>
      <c r="D16" s="910" t="n">
        <f aca="false">SUM(D9:D15)</f>
        <v>48215</v>
      </c>
      <c r="E16" s="95"/>
    </row>
    <row r="17" customFormat="false" ht="12.75" hidden="false" customHeight="false" outlineLevel="0" collapsed="false">
      <c r="A17" s="911" t="s">
        <v>602</v>
      </c>
      <c r="B17" s="910"/>
      <c r="C17" s="910"/>
      <c r="D17" s="910"/>
      <c r="E17" s="95"/>
    </row>
    <row r="18" customFormat="false" ht="12.75" hidden="false" customHeight="false" outlineLevel="0" collapsed="false">
      <c r="A18" s="911" t="s">
        <v>603</v>
      </c>
      <c r="B18" s="910" t="n">
        <v>102263</v>
      </c>
      <c r="C18" s="443" t="n">
        <v>0</v>
      </c>
      <c r="D18" s="443" t="n">
        <f aca="false">SUM(B18:C18)</f>
        <v>102263</v>
      </c>
      <c r="E18" s="95"/>
    </row>
    <row r="19" customFormat="false" ht="15" hidden="false" customHeight="false" outlineLevel="0" collapsed="false">
      <c r="A19" s="911" t="s">
        <v>604</v>
      </c>
      <c r="B19" s="912" t="n">
        <v>-19169</v>
      </c>
      <c r="C19" s="446" t="n">
        <v>0</v>
      </c>
      <c r="D19" s="446" t="n">
        <f aca="false">SUM(B19:C19)</f>
        <v>-19169</v>
      </c>
      <c r="E19" s="95"/>
    </row>
    <row r="20" customFormat="false" ht="12.75" hidden="false" customHeight="false" outlineLevel="0" collapsed="false">
      <c r="A20" s="138" t="s">
        <v>601</v>
      </c>
      <c r="B20" s="910" t="n">
        <f aca="false">B19+B18</f>
        <v>83094</v>
      </c>
      <c r="C20" s="910" t="n">
        <f aca="false">C19+C18</f>
        <v>0</v>
      </c>
      <c r="D20" s="910" t="n">
        <f aca="false">D19+D18</f>
        <v>83094</v>
      </c>
      <c r="E20" s="95"/>
    </row>
    <row r="21" customFormat="false" ht="12.75" hidden="false" customHeight="false" outlineLevel="0" collapsed="false">
      <c r="A21" s="911" t="s">
        <v>605</v>
      </c>
      <c r="B21" s="910" t="n">
        <v>4875</v>
      </c>
      <c r="C21" s="443" t="n">
        <v>0</v>
      </c>
      <c r="D21" s="443" t="n">
        <f aca="false">SUM(B21:C21)</f>
        <v>4875</v>
      </c>
      <c r="E21" s="95"/>
    </row>
    <row r="22" customFormat="false" ht="13.5" hidden="false" customHeight="false" outlineLevel="0" collapsed="false">
      <c r="A22" s="138"/>
      <c r="B22" s="910"/>
      <c r="C22" s="95"/>
      <c r="D22" s="95"/>
      <c r="E22" s="95"/>
    </row>
    <row r="23" customFormat="false" ht="13.5" hidden="false" customHeight="false" outlineLevel="0" collapsed="false">
      <c r="A23" s="913" t="s">
        <v>606</v>
      </c>
      <c r="B23" s="914" t="n">
        <f aca="false">B21+B20+B16</f>
        <v>136184</v>
      </c>
      <c r="C23" s="914" t="n">
        <f aca="false">C21+C20+C16</f>
        <v>0</v>
      </c>
      <c r="D23" s="915" t="n">
        <f aca="false">D21+D20+D16</f>
        <v>136184</v>
      </c>
      <c r="E23" s="95"/>
    </row>
    <row r="24" customFormat="false" ht="15" hidden="false" customHeight="false" outlineLevel="0" collapsed="false">
      <c r="A24" s="95"/>
      <c r="B24" s="95"/>
      <c r="C24" s="446"/>
      <c r="D24" s="95"/>
      <c r="E24" s="95"/>
    </row>
    <row r="25" customFormat="false" ht="12.75" hidden="false" customHeight="false" outlineLevel="0" collapsed="false">
      <c r="A25" s="0" t="s">
        <v>607</v>
      </c>
      <c r="C25" s="95"/>
      <c r="D25" s="95"/>
      <c r="E25" s="95"/>
    </row>
    <row r="26" customFormat="false" ht="12.75" hidden="false" customHeight="false" outlineLevel="0" collapsed="false">
      <c r="A26" s="511"/>
      <c r="C26" s="95"/>
      <c r="D26" s="95"/>
      <c r="E26" s="95"/>
    </row>
    <row r="27" customFormat="false" ht="12.75" hidden="false" customHeight="false" outlineLevel="0" collapsed="false">
      <c r="A27" s="908" t="s">
        <v>608</v>
      </c>
      <c r="C27" s="95"/>
      <c r="D27" s="95"/>
      <c r="E27" s="95"/>
    </row>
    <row r="28" customFormat="false" ht="12.75" hidden="false" customHeight="false" outlineLevel="0" collapsed="false">
      <c r="A28" s="908" t="s">
        <v>609</v>
      </c>
      <c r="B28" s="566" t="n">
        <v>0</v>
      </c>
      <c r="C28" s="566" t="n">
        <v>0</v>
      </c>
      <c r="D28" s="443" t="n">
        <f aca="false">SUM(B28:C28)</f>
        <v>0</v>
      </c>
      <c r="E28" s="95"/>
    </row>
    <row r="29" customFormat="false" ht="12.75" hidden="false" customHeight="false" outlineLevel="0" collapsed="false">
      <c r="A29" s="908" t="s">
        <v>610</v>
      </c>
      <c r="B29" s="566" t="n">
        <v>6773</v>
      </c>
      <c r="C29" s="566" t="n">
        <v>0</v>
      </c>
      <c r="D29" s="443" t="n">
        <f aca="false">SUM(B29:C29)</f>
        <v>6773</v>
      </c>
      <c r="E29" s="95"/>
    </row>
    <row r="30" customFormat="false" ht="12.75" hidden="false" customHeight="false" outlineLevel="0" collapsed="false">
      <c r="A30" s="908" t="s">
        <v>611</v>
      </c>
      <c r="B30" s="566" t="n">
        <v>43</v>
      </c>
      <c r="C30" s="566" t="n">
        <v>0</v>
      </c>
      <c r="D30" s="443" t="n">
        <f aca="false">SUM(B30:C30)</f>
        <v>43</v>
      </c>
      <c r="E30" s="95"/>
    </row>
    <row r="31" customFormat="false" ht="12.75" hidden="false" customHeight="false" outlineLevel="0" collapsed="false">
      <c r="A31" s="908" t="s">
        <v>612</v>
      </c>
      <c r="B31" s="566" t="n">
        <v>2191</v>
      </c>
      <c r="C31" s="566" t="n">
        <v>0</v>
      </c>
      <c r="D31" s="443" t="n">
        <f aca="false">SUM(B31:C31)</f>
        <v>2191</v>
      </c>
      <c r="E31" s="95"/>
    </row>
    <row r="32" customFormat="false" ht="12.75" hidden="false" customHeight="false" outlineLevel="0" collapsed="false">
      <c r="A32" s="908" t="s">
        <v>613</v>
      </c>
      <c r="B32" s="566" t="n">
        <v>-11832</v>
      </c>
      <c r="C32" s="566" t="n">
        <v>0</v>
      </c>
      <c r="D32" s="443" t="n">
        <f aca="false">SUM(B32:C32)</f>
        <v>-11832</v>
      </c>
      <c r="E32" s="95"/>
    </row>
    <row r="33" customFormat="false" ht="15" hidden="false" customHeight="false" outlineLevel="0" collapsed="false">
      <c r="A33" s="916" t="s">
        <v>614</v>
      </c>
      <c r="B33" s="912" t="n">
        <v>0</v>
      </c>
      <c r="C33" s="446" t="n">
        <v>0</v>
      </c>
      <c r="D33" s="446" t="n">
        <f aca="false">SUM(B33:C33)</f>
        <v>0</v>
      </c>
      <c r="E33" s="95"/>
    </row>
    <row r="34" customFormat="false" ht="12.75" hidden="false" customHeight="false" outlineLevel="0" collapsed="false">
      <c r="A34" s="511" t="s">
        <v>601</v>
      </c>
      <c r="B34" s="910" t="n">
        <f aca="false">SUM(B28:B33)</f>
        <v>-2825</v>
      </c>
      <c r="C34" s="910" t="n">
        <f aca="false">SUM(C28:C33)</f>
        <v>0</v>
      </c>
      <c r="D34" s="910" t="n">
        <f aca="false">SUM(D28:D33)</f>
        <v>-2825</v>
      </c>
      <c r="E34" s="95"/>
    </row>
    <row r="35" customFormat="false" ht="12.75" hidden="false" customHeight="false" outlineLevel="0" collapsed="false">
      <c r="A35" s="916" t="s">
        <v>615</v>
      </c>
      <c r="B35" s="910"/>
      <c r="C35" s="95"/>
      <c r="D35" s="95"/>
      <c r="E35" s="95"/>
    </row>
    <row r="36" customFormat="false" ht="12.75" hidden="false" customHeight="false" outlineLevel="0" collapsed="false">
      <c r="A36" s="916" t="s">
        <v>616</v>
      </c>
      <c r="B36" s="459" t="n">
        <v>0</v>
      </c>
      <c r="C36" s="95" t="n">
        <f aca="false">-B36</f>
        <v>-0</v>
      </c>
      <c r="D36" s="95" t="n">
        <f aca="false">SUM(B36:C36)</f>
        <v>0</v>
      </c>
      <c r="E36" s="95"/>
    </row>
    <row r="37" customFormat="false" ht="15" hidden="false" customHeight="false" outlineLevel="0" collapsed="false">
      <c r="A37" s="916" t="s">
        <v>617</v>
      </c>
      <c r="B37" s="912" t="n">
        <v>-52378</v>
      </c>
      <c r="C37" s="446" t="n">
        <v>0</v>
      </c>
      <c r="D37" s="446" t="n">
        <f aca="false">SUM(B37:C37)</f>
        <v>-52378</v>
      </c>
      <c r="E37" s="95"/>
    </row>
    <row r="38" customFormat="false" ht="12.75" hidden="false" customHeight="false" outlineLevel="0" collapsed="false">
      <c r="A38" s="511" t="s">
        <v>601</v>
      </c>
      <c r="B38" s="910" t="n">
        <f aca="false">SUM(B36:B37)</f>
        <v>-52378</v>
      </c>
      <c r="C38" s="95" t="n">
        <f aca="false">SUM(C36:C37)</f>
        <v>0</v>
      </c>
      <c r="D38" s="95" t="n">
        <f aca="false">SUM(D36:D37)</f>
        <v>-52378</v>
      </c>
      <c r="E38" s="95"/>
    </row>
    <row r="39" customFormat="false" ht="12.75" hidden="false" customHeight="false" outlineLevel="0" collapsed="false">
      <c r="A39" s="916" t="s">
        <v>618</v>
      </c>
      <c r="B39" s="459"/>
      <c r="C39" s="95"/>
      <c r="D39" s="95"/>
      <c r="E39" s="95"/>
    </row>
    <row r="40" customFormat="false" ht="12.75" hidden="false" customHeight="false" outlineLevel="0" collapsed="false">
      <c r="A40" s="916" t="s">
        <v>619</v>
      </c>
      <c r="B40" s="459" t="n">
        <v>0</v>
      </c>
      <c r="C40" s="95" t="n">
        <v>0</v>
      </c>
      <c r="D40" s="95" t="n">
        <f aca="false">SUM(B40:C40)</f>
        <v>0</v>
      </c>
      <c r="E40" s="95"/>
    </row>
    <row r="41" customFormat="false" ht="12.75" hidden="false" customHeight="false" outlineLevel="0" collapsed="false">
      <c r="A41" s="916" t="s">
        <v>620</v>
      </c>
      <c r="B41" s="917" t="n">
        <v>575987</v>
      </c>
      <c r="C41" s="443" t="n">
        <v>0</v>
      </c>
      <c r="D41" s="443" t="n">
        <f aca="false">SUM(B41:C41)</f>
        <v>575987</v>
      </c>
      <c r="E41" s="95"/>
    </row>
    <row r="42" customFormat="false" ht="15" hidden="false" customHeight="false" outlineLevel="0" collapsed="false">
      <c r="A42" s="0" t="s">
        <v>621</v>
      </c>
      <c r="B42" s="912" t="n">
        <v>-384600</v>
      </c>
      <c r="C42" s="446" t="n">
        <v>0</v>
      </c>
      <c r="D42" s="446" t="n">
        <f aca="false">SUM(B42:C42)</f>
        <v>-384600</v>
      </c>
      <c r="E42" s="95"/>
    </row>
    <row r="43" customFormat="false" ht="12.75" hidden="false" customHeight="false" outlineLevel="0" collapsed="false">
      <c r="A43" s="511" t="s">
        <v>601</v>
      </c>
      <c r="B43" s="910" t="n">
        <f aca="false">SUM(B40:B42)</f>
        <v>191387</v>
      </c>
      <c r="C43" s="910" t="n">
        <f aca="false">SUM(C40:C42)</f>
        <v>0</v>
      </c>
      <c r="D43" s="910" t="n">
        <f aca="false">SUM(D40:D42)</f>
        <v>191387</v>
      </c>
      <c r="E43" s="95"/>
    </row>
    <row r="44" customFormat="false" ht="13.5" hidden="false" customHeight="false" outlineLevel="0" collapsed="false">
      <c r="C44" s="95"/>
      <c r="D44" s="95"/>
      <c r="E44" s="95"/>
    </row>
    <row r="45" customFormat="false" ht="13.5" hidden="false" customHeight="false" outlineLevel="0" collapsed="false">
      <c r="A45" s="913" t="s">
        <v>622</v>
      </c>
      <c r="B45" s="914" t="n">
        <f aca="false">B43+B38+B34</f>
        <v>136184</v>
      </c>
      <c r="C45" s="914" t="n">
        <f aca="false">C43+C38+C34</f>
        <v>0</v>
      </c>
      <c r="D45" s="915" t="n">
        <f aca="false">D43+D38+D34</f>
        <v>136184</v>
      </c>
      <c r="E45" s="95"/>
    </row>
    <row r="46" customFormat="false" ht="12.75" hidden="false" customHeight="false" outlineLevel="0" collapsed="false">
      <c r="A46" s="95"/>
      <c r="B46" s="95" t="n">
        <f aca="false">B23-B45</f>
        <v>0</v>
      </c>
      <c r="C46" s="95" t="n">
        <f aca="false">C23-C45</f>
        <v>0</v>
      </c>
      <c r="D46" s="95" t="n">
        <f aca="false">D23-D45</f>
        <v>0</v>
      </c>
      <c r="E46" s="95"/>
    </row>
    <row r="47" customFormat="false" ht="12.75" hidden="false" customHeight="false" outlineLevel="0" collapsed="false">
      <c r="A47" s="160"/>
      <c r="B47" s="160"/>
      <c r="C47" s="443"/>
      <c r="D47" s="443"/>
      <c r="E47" s="443"/>
    </row>
    <row r="48" customFormat="false" ht="12.75" hidden="false" customHeight="false" outlineLevel="0" collapsed="false">
      <c r="C48" s="95"/>
      <c r="D48" s="95"/>
      <c r="E48" s="95"/>
    </row>
    <row r="49" customFormat="false" ht="12.75" hidden="false" customHeight="false" outlineLevel="0" collapsed="false">
      <c r="C49" s="95"/>
      <c r="D49" s="95"/>
      <c r="E49" s="95"/>
    </row>
    <row r="50" customFormat="false" ht="12.75" hidden="false" customHeight="false" outlineLevel="0" collapsed="false">
      <c r="D50" s="95"/>
      <c r="E50" s="95"/>
    </row>
    <row r="51" customFormat="false" ht="12.75" hidden="false" customHeight="false" outlineLevel="0" collapsed="false">
      <c r="C51" s="95"/>
      <c r="D51" s="95"/>
      <c r="E51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56"/>
  </cols>
  <sheetData>
    <row r="1" customFormat="false" ht="18.75" hidden="false" customHeight="false" outlineLevel="0" collapsed="false">
      <c r="A1" s="31" t="str">
        <f aca="false">Assumptions!A1</f>
        <v>Project Wolverine</v>
      </c>
      <c r="D1" s="32" t="s">
        <v>50</v>
      </c>
    </row>
    <row r="2" customFormat="false" ht="15.75" hidden="false" customHeight="false" outlineLevel="0" collapsed="false">
      <c r="B2" s="33" t="s">
        <v>51</v>
      </c>
      <c r="D2" s="34" t="e">
        <f aca="false">IF(CLoop&lt;&gt;0,"Warning Flag: Check Unlev. Consolid sheet and run Macro","")</f>
        <v>#REF!</v>
      </c>
      <c r="E2" s="35"/>
      <c r="F2" s="35"/>
      <c r="G2" s="35"/>
      <c r="H2" s="36"/>
    </row>
    <row r="3" customFormat="false" ht="18.75" hidden="false" customHeight="false" outlineLevel="0" collapsed="false">
      <c r="A3" s="31"/>
      <c r="D3" s="37" t="str">
        <f aca="false">IF('Unlev. Consolid'!K87="","","Warning Flag: Check Unlev.Consolid sheet and separate Asset sheets")</f>
        <v/>
      </c>
      <c r="E3" s="38"/>
      <c r="F3" s="38"/>
      <c r="G3" s="38"/>
      <c r="H3" s="39"/>
    </row>
    <row r="5" customFormat="false" ht="12.75" hidden="false" customHeight="false" outlineLevel="0" collapsed="false">
      <c r="A5" s="40" t="s">
        <v>52</v>
      </c>
    </row>
    <row r="6" customFormat="false" ht="13.5" hidden="false" customHeight="false" outlineLevel="0" collapsed="false"/>
    <row r="7" customFormat="false" ht="12.75" hidden="false" customHeight="false" outlineLevel="0" collapsed="false">
      <c r="B7" s="41" t="s">
        <v>53</v>
      </c>
      <c r="C7" s="42"/>
      <c r="D7" s="43" t="n">
        <f aca="false">E7-0.025</f>
        <v>0.1</v>
      </c>
      <c r="E7" s="43" t="n">
        <f aca="false">ConsDRate</f>
        <v>0.125</v>
      </c>
      <c r="F7" s="44" t="n">
        <f aca="false">E7+0.025</f>
        <v>0.15</v>
      </c>
    </row>
    <row r="8" customFormat="false" ht="12.75" hidden="false" customHeight="false" outlineLevel="0" collapsed="false">
      <c r="B8" s="45" t="s">
        <v>54</v>
      </c>
      <c r="C8" s="46"/>
      <c r="D8" s="47" t="e">
        <f aca="false">'Unlev. Consolid'!N86</f>
        <v>#REF!</v>
      </c>
      <c r="E8" s="47" t="e">
        <f aca="false">'Unlev. Consolid'!O86</f>
        <v>#REF!</v>
      </c>
      <c r="F8" s="48" t="e">
        <f aca="false">'Unlev. Consolid'!P86</f>
        <v>#REF!</v>
      </c>
    </row>
    <row r="9" customFormat="false" ht="13.5" hidden="false" customHeight="false" outlineLevel="0" collapsed="false">
      <c r="B9" s="49" t="s">
        <v>55</v>
      </c>
      <c r="C9" s="50" t="n">
        <f aca="false">'Unlev. Consolid'!$L$89</f>
        <v>0</v>
      </c>
      <c r="D9" s="51"/>
      <c r="E9" s="51"/>
      <c r="F9" s="52"/>
    </row>
    <row r="11" customFormat="false" ht="12.75" hidden="false" customHeight="false" outlineLevel="0" collapsed="false">
      <c r="A11" s="40" t="s">
        <v>56</v>
      </c>
    </row>
    <row r="13" customFormat="false" ht="12.75" hidden="false" customHeight="false" outlineLevel="0" collapsed="false">
      <c r="B13" s="53" t="s">
        <v>57</v>
      </c>
      <c r="D13" s="54" t="n">
        <f aca="false">Assumptions!D31</f>
        <v>0.5</v>
      </c>
    </row>
    <row r="14" customFormat="false" ht="13.5" hidden="false" customHeight="false" outlineLevel="0" collapsed="false"/>
    <row r="15" customFormat="false" ht="12.75" hidden="false" customHeight="false" outlineLevel="0" collapsed="false">
      <c r="B15" s="41" t="s">
        <v>53</v>
      </c>
      <c r="C15" s="55"/>
      <c r="D15" s="43" t="n">
        <f aca="false">E15-0.025</f>
        <v>0.1</v>
      </c>
      <c r="E15" s="43" t="n">
        <f aca="false">ConsDRate</f>
        <v>0.125</v>
      </c>
      <c r="F15" s="44" t="n">
        <f aca="false">E15+0.025</f>
        <v>0.15</v>
      </c>
    </row>
    <row r="16" customFormat="false" ht="12.75" hidden="false" customHeight="false" outlineLevel="0" collapsed="false">
      <c r="B16" s="45" t="s">
        <v>58</v>
      </c>
      <c r="C16" s="46"/>
      <c r="D16" s="47" t="e">
        <f aca="false">'Lev. Consolid'!F7</f>
        <v>#REF!</v>
      </c>
      <c r="E16" s="47" t="e">
        <f aca="false">'Lev. Consolid'!G7</f>
        <v>#REF!</v>
      </c>
      <c r="F16" s="48" t="e">
        <f aca="false">'Lev. Consolid'!H7</f>
        <v>#REF!</v>
      </c>
    </row>
    <row r="17" customFormat="false" ht="13.5" hidden="false" customHeight="false" outlineLevel="0" collapsed="false">
      <c r="B17" s="49" t="s">
        <v>59</v>
      </c>
      <c r="C17" s="56" t="e">
        <f aca="false">'Lev. Consolid'!$G$9</f>
        <v>#REF!</v>
      </c>
      <c r="D17" s="51"/>
      <c r="E17" s="51"/>
      <c r="F17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&amp;R&amp;F
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50" activeCellId="0" sqref="F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22.85"/>
    <col collapsed="false" customWidth="true" hidden="false" outlineLevel="0" max="3" min="3" style="0" width="14.85"/>
    <col collapsed="false" customWidth="true" hidden="false" outlineLevel="0" max="4" min="4" style="0" width="15.56"/>
    <col collapsed="false" customWidth="true" hidden="false" outlineLevel="0" max="5" min="5" style="0" width="13.14"/>
    <col collapsed="false" customWidth="true" hidden="false" outlineLevel="0" max="6" min="6" style="0" width="22.7"/>
    <col collapsed="false" customWidth="true" hidden="false" outlineLevel="0" max="7" min="7" style="0" width="18.99"/>
    <col collapsed="false" customWidth="true" hidden="false" outlineLevel="0" max="8" min="8" style="0" width="10.85"/>
    <col collapsed="false" customWidth="true" hidden="false" outlineLevel="0" max="9" min="9" style="0" width="19.7"/>
    <col collapsed="false" customWidth="true" hidden="false" outlineLevel="0" max="10" min="10" style="0" width="13.7"/>
  </cols>
  <sheetData>
    <row r="1" customFormat="false" ht="20.25" hidden="false" customHeight="false" outlineLevel="0" collapsed="false">
      <c r="A1" s="57" t="str">
        <f aca="false">"Project "&amp;D7</f>
        <v>Project Wolverine</v>
      </c>
      <c r="B1" s="10"/>
      <c r="C1" s="10"/>
      <c r="D1" s="12"/>
      <c r="F1" s="58" t="n">
        <f aca="true">NOW()</f>
        <v>45926.950360517</v>
      </c>
    </row>
    <row r="2" customFormat="false" ht="16.5" hidden="false" customHeight="false" outlineLevel="0" collapsed="false">
      <c r="A2" s="59" t="s">
        <v>60</v>
      </c>
      <c r="B2" s="28"/>
      <c r="C2" s="28"/>
      <c r="D2" s="30"/>
      <c r="F2" s="58"/>
    </row>
    <row r="3" customFormat="false" ht="13.5" hidden="false" customHeight="false" outlineLevel="0" collapsed="false">
      <c r="D3" s="60"/>
    </row>
    <row r="4" customFormat="false" ht="16.5" hidden="false" customHeight="false" outlineLevel="0" collapsed="false">
      <c r="A4" s="61" t="s">
        <v>61</v>
      </c>
      <c r="B4" s="62"/>
      <c r="C4" s="63"/>
      <c r="D4" s="64"/>
      <c r="F4" s="65" t="s">
        <v>62</v>
      </c>
      <c r="G4" s="66"/>
    </row>
    <row r="5" customFormat="false" ht="12.75" hidden="false" customHeight="false" outlineLevel="0" collapsed="false">
      <c r="A5" s="18"/>
      <c r="B5" s="17"/>
      <c r="C5" s="17"/>
      <c r="D5" s="67"/>
      <c r="F5" s="9"/>
      <c r="G5" s="12"/>
    </row>
    <row r="6" customFormat="false" ht="12.75" hidden="false" customHeight="false" outlineLevel="0" collapsed="false">
      <c r="A6" s="68" t="s">
        <v>63</v>
      </c>
      <c r="B6" s="69"/>
      <c r="C6" s="69"/>
      <c r="D6" s="70"/>
      <c r="F6" s="71" t="str">
        <f aca="false">IF(D15&gt;10,"Add More Years in workseets","")</f>
        <v/>
      </c>
      <c r="G6" s="72"/>
    </row>
    <row r="7" customFormat="false" ht="13.5" hidden="false" customHeight="false" outlineLevel="0" collapsed="false">
      <c r="A7" s="73"/>
      <c r="B7" s="74" t="s">
        <v>64</v>
      </c>
      <c r="C7" s="74"/>
      <c r="D7" s="75" t="s">
        <v>65</v>
      </c>
      <c r="F7" s="27"/>
      <c r="G7" s="30"/>
      <c r="H7" s="76"/>
    </row>
    <row r="8" customFormat="false" ht="12.75" hidden="false" customHeight="false" outlineLevel="0" collapsed="false">
      <c r="A8" s="18"/>
      <c r="B8" s="17" t="s">
        <v>66</v>
      </c>
      <c r="C8" s="17"/>
      <c r="D8" s="77" t="s">
        <v>67</v>
      </c>
      <c r="H8" s="78"/>
    </row>
    <row r="9" customFormat="false" ht="15.75" hidden="false" customHeight="false" outlineLevel="0" collapsed="false">
      <c r="A9" s="18"/>
      <c r="B9" s="17" t="s">
        <v>68</v>
      </c>
      <c r="C9" s="17"/>
      <c r="D9" s="77" t="s">
        <v>69</v>
      </c>
      <c r="F9" s="61" t="s">
        <v>70</v>
      </c>
      <c r="G9" s="79"/>
      <c r="H9" s="79"/>
      <c r="I9" s="79"/>
      <c r="J9" s="80"/>
      <c r="K9" s="81"/>
    </row>
    <row r="10" customFormat="false" ht="12.75" hidden="false" customHeight="false" outlineLevel="0" collapsed="false">
      <c r="A10" s="18"/>
      <c r="B10" s="17" t="s">
        <v>71</v>
      </c>
      <c r="C10" s="17"/>
      <c r="D10" s="82" t="n">
        <v>1</v>
      </c>
      <c r="F10" s="18"/>
      <c r="G10" s="17"/>
      <c r="H10" s="78"/>
      <c r="I10" s="17"/>
      <c r="J10" s="67"/>
      <c r="K10" s="83"/>
    </row>
    <row r="11" customFormat="false" ht="12.75" hidden="false" customHeight="false" outlineLevel="0" collapsed="false">
      <c r="A11" s="18"/>
      <c r="B11" s="17" t="s">
        <v>72</v>
      </c>
      <c r="C11" s="17"/>
      <c r="D11" s="82" t="n">
        <v>0</v>
      </c>
      <c r="F11" s="68" t="s">
        <v>73</v>
      </c>
      <c r="G11" s="84"/>
      <c r="H11" s="85"/>
      <c r="I11" s="84" t="s">
        <v>74</v>
      </c>
      <c r="J11" s="86"/>
      <c r="K11" s="83"/>
    </row>
    <row r="12" customFormat="false" ht="12.75" hidden="false" customHeight="false" outlineLevel="0" collapsed="false">
      <c r="A12" s="18"/>
      <c r="B12" s="17" t="s">
        <v>75</v>
      </c>
      <c r="C12" s="17"/>
      <c r="D12" s="77" t="s">
        <v>69</v>
      </c>
      <c r="F12" s="73" t="s">
        <v>76</v>
      </c>
      <c r="G12" s="87" t="n">
        <v>132000</v>
      </c>
      <c r="H12" s="85"/>
      <c r="I12" s="88" t="s">
        <v>77</v>
      </c>
      <c r="J12" s="89"/>
      <c r="K12" s="83"/>
    </row>
    <row r="13" customFormat="false" ht="12.75" hidden="false" customHeight="false" outlineLevel="0" collapsed="false">
      <c r="A13" s="18"/>
      <c r="B13" s="17" t="s">
        <v>78</v>
      </c>
      <c r="C13" s="17"/>
      <c r="D13" s="82" t="n">
        <f aca="false">1-D10</f>
        <v>0</v>
      </c>
      <c r="F13" s="18" t="s">
        <v>79</v>
      </c>
      <c r="G13" s="90" t="n">
        <v>23.125</v>
      </c>
      <c r="H13" s="91"/>
      <c r="I13" s="18" t="s">
        <v>80</v>
      </c>
      <c r="J13" s="92" t="n">
        <v>731246</v>
      </c>
      <c r="K13" s="83"/>
    </row>
    <row r="14" customFormat="false" ht="12.75" hidden="false" customHeight="false" outlineLevel="0" collapsed="false">
      <c r="A14" s="18"/>
      <c r="B14" s="17" t="s">
        <v>81</v>
      </c>
      <c r="C14" s="17"/>
      <c r="D14" s="77" t="n">
        <v>2002</v>
      </c>
      <c r="F14" s="93" t="s">
        <v>82</v>
      </c>
      <c r="G14" s="94" t="n">
        <f aca="false">G12*G13</f>
        <v>3052500</v>
      </c>
      <c r="H14" s="83"/>
      <c r="I14" s="18" t="s">
        <v>83</v>
      </c>
      <c r="J14" s="92" t="n">
        <v>243006</v>
      </c>
      <c r="K14" s="17"/>
    </row>
    <row r="15" customFormat="false" ht="12.75" hidden="false" customHeight="false" outlineLevel="0" collapsed="false">
      <c r="A15" s="18"/>
      <c r="B15" s="17" t="s">
        <v>84</v>
      </c>
      <c r="C15" s="17"/>
      <c r="D15" s="77" t="n">
        <v>10</v>
      </c>
      <c r="F15" s="18"/>
      <c r="G15" s="17"/>
      <c r="H15" s="95"/>
      <c r="I15" s="18" t="s">
        <v>85</v>
      </c>
      <c r="J15" s="96" t="n">
        <v>62741</v>
      </c>
    </row>
    <row r="16" customFormat="false" ht="12.75" hidden="false" customHeight="false" outlineLevel="0" collapsed="false">
      <c r="A16" s="18"/>
      <c r="B16" s="17" t="s">
        <v>86</v>
      </c>
      <c r="C16" s="17"/>
      <c r="D16" s="97" t="n">
        <v>880000</v>
      </c>
      <c r="F16" s="68" t="s">
        <v>87</v>
      </c>
      <c r="G16" s="84"/>
      <c r="H16" s="17"/>
      <c r="I16" s="98" t="s">
        <v>88</v>
      </c>
      <c r="J16" s="99" t="n">
        <f aca="false">J13-J14-J15</f>
        <v>425499</v>
      </c>
    </row>
    <row r="17" customFormat="false" ht="12.75" hidden="false" customHeight="false" outlineLevel="0" collapsed="false">
      <c r="A17" s="18"/>
      <c r="B17" s="17" t="s">
        <v>89</v>
      </c>
      <c r="C17" s="17"/>
      <c r="D17" s="100" t="n">
        <v>28.3</v>
      </c>
      <c r="F17" s="73" t="s">
        <v>90</v>
      </c>
      <c r="G17" s="101" t="n">
        <f aca="false">'Unlev. Consolid'!G42</f>
        <v>0</v>
      </c>
      <c r="H17" s="17"/>
      <c r="I17" s="18" t="s">
        <v>91</v>
      </c>
      <c r="J17" s="102" t="n">
        <v>0.11</v>
      </c>
    </row>
    <row r="18" customFormat="false" ht="12.75" hidden="false" customHeight="false" outlineLevel="0" collapsed="false">
      <c r="A18" s="93"/>
      <c r="B18" s="103" t="s">
        <v>92</v>
      </c>
      <c r="C18" s="103"/>
      <c r="D18" s="104" t="s">
        <v>93</v>
      </c>
      <c r="F18" s="18" t="s">
        <v>94</v>
      </c>
      <c r="G18" s="105" t="n">
        <v>15</v>
      </c>
      <c r="H18" s="17"/>
      <c r="I18" s="106" t="s">
        <v>95</v>
      </c>
      <c r="J18" s="107" t="n">
        <f aca="false">J16*J17</f>
        <v>46804.89</v>
      </c>
    </row>
    <row r="19" customFormat="false" ht="12.75" hidden="false" customHeight="false" outlineLevel="0" collapsed="false">
      <c r="A19" s="18"/>
      <c r="B19" s="108"/>
      <c r="C19" s="108"/>
      <c r="D19" s="67"/>
      <c r="F19" s="26" t="s">
        <v>96</v>
      </c>
      <c r="G19" s="109" t="n">
        <f aca="false">G17*G18</f>
        <v>0</v>
      </c>
      <c r="H19" s="17"/>
      <c r="I19" s="83"/>
      <c r="J19" s="110"/>
    </row>
    <row r="20" customFormat="false" ht="12.75" hidden="false" customHeight="false" outlineLevel="0" collapsed="false">
      <c r="A20" s="68" t="s">
        <v>97</v>
      </c>
      <c r="B20" s="69"/>
      <c r="C20" s="69"/>
      <c r="D20" s="70"/>
      <c r="F20" s="18" t="s">
        <v>98</v>
      </c>
      <c r="G20" s="110" t="n">
        <f aca="false">'Unlev. Consolid'!G23</f>
        <v>275409</v>
      </c>
      <c r="H20" s="17"/>
      <c r="I20" s="83"/>
      <c r="J20" s="111"/>
    </row>
    <row r="21" customFormat="false" ht="12.75" hidden="false" customHeight="false" outlineLevel="0" collapsed="false">
      <c r="A21" s="73"/>
      <c r="B21" s="74" t="s">
        <v>99</v>
      </c>
      <c r="C21" s="74"/>
      <c r="D21" s="112" t="n">
        <v>0.385</v>
      </c>
      <c r="F21" s="18" t="s">
        <v>94</v>
      </c>
      <c r="G21" s="105" t="n">
        <v>10</v>
      </c>
      <c r="H21" s="17"/>
      <c r="I21" s="83"/>
      <c r="J21" s="111"/>
    </row>
    <row r="22" customFormat="false" ht="12.75" hidden="false" customHeight="false" outlineLevel="0" collapsed="false">
      <c r="A22" s="18"/>
      <c r="B22" s="17" t="s">
        <v>100</v>
      </c>
      <c r="C22" s="17"/>
      <c r="D22" s="113" t="n">
        <v>40</v>
      </c>
      <c r="F22" s="26" t="s">
        <v>96</v>
      </c>
      <c r="G22" s="114" t="n">
        <f aca="false">G20*G21</f>
        <v>2754090</v>
      </c>
      <c r="H22" s="17"/>
      <c r="I22" s="115"/>
      <c r="J22" s="111"/>
    </row>
    <row r="23" customFormat="false" ht="12.75" hidden="false" customHeight="false" outlineLevel="0" collapsed="false">
      <c r="A23" s="18"/>
      <c r="B23" s="17" t="s">
        <v>101</v>
      </c>
      <c r="C23" s="17"/>
      <c r="D23" s="116" t="n">
        <v>0.125</v>
      </c>
      <c r="E23" s="117" t="e">
        <f aca="false">IF(CLoop=0,"","Run Consolidated Macro")</f>
        <v>#REF!</v>
      </c>
      <c r="F23" s="118" t="s">
        <v>102</v>
      </c>
      <c r="G23" s="119" t="n">
        <f aca="false">CPurPrice</f>
        <v>12590.9483764403</v>
      </c>
      <c r="H23" s="17"/>
      <c r="I23" s="17"/>
      <c r="J23" s="67"/>
    </row>
    <row r="24" customFormat="false" ht="12.75" hidden="false" customHeight="false" outlineLevel="0" collapsed="false">
      <c r="A24" s="18"/>
      <c r="B24" s="17" t="s">
        <v>103</v>
      </c>
      <c r="C24" s="17"/>
      <c r="D24" s="116" t="n">
        <v>0</v>
      </c>
      <c r="E24" s="120"/>
      <c r="F24" s="18"/>
      <c r="G24" s="17"/>
      <c r="H24" s="17"/>
      <c r="I24" s="17"/>
      <c r="J24" s="67"/>
    </row>
    <row r="25" customFormat="false" ht="12.75" hidden="false" customHeight="false" outlineLevel="0" collapsed="false">
      <c r="A25" s="18"/>
      <c r="B25" s="17" t="s">
        <v>104</v>
      </c>
      <c r="C25" s="17"/>
      <c r="D25" s="121" t="n">
        <v>0</v>
      </c>
      <c r="E25" s="120"/>
      <c r="F25" s="18"/>
      <c r="G25" s="17"/>
      <c r="H25" s="17"/>
      <c r="I25" s="17"/>
      <c r="J25" s="67"/>
    </row>
    <row r="26" customFormat="false" ht="12.75" hidden="false" customHeight="false" outlineLevel="0" collapsed="false">
      <c r="A26" s="18"/>
      <c r="B26" s="17" t="s">
        <v>105</v>
      </c>
      <c r="C26" s="17"/>
      <c r="D26" s="121" t="n">
        <v>0.077</v>
      </c>
      <c r="E26" s="120"/>
      <c r="F26" s="18"/>
      <c r="G26" s="17"/>
      <c r="H26" s="17"/>
      <c r="I26" s="17"/>
      <c r="J26" s="67"/>
    </row>
    <row r="27" customFormat="false" ht="12.75" hidden="false" customHeight="false" outlineLevel="0" collapsed="false">
      <c r="A27" s="18"/>
      <c r="B27" s="17" t="s">
        <v>106</v>
      </c>
      <c r="C27" s="17"/>
      <c r="D27" s="121" t="n">
        <v>0.07</v>
      </c>
      <c r="E27" s="120"/>
      <c r="F27" s="18"/>
      <c r="G27" s="17"/>
      <c r="H27" s="17"/>
      <c r="I27" s="17"/>
      <c r="J27" s="67"/>
    </row>
    <row r="28" customFormat="false" ht="12.75" hidden="false" customHeight="false" outlineLevel="0" collapsed="false">
      <c r="A28" s="93"/>
      <c r="B28" s="103" t="s">
        <v>107</v>
      </c>
      <c r="C28" s="103"/>
      <c r="D28" s="122" t="n">
        <v>0.12</v>
      </c>
      <c r="E28" s="120"/>
      <c r="F28" s="93"/>
      <c r="G28" s="103"/>
      <c r="H28" s="103"/>
      <c r="I28" s="103"/>
      <c r="J28" s="123"/>
    </row>
    <row r="29" customFormat="false" ht="12.75" hidden="false" customHeight="false" outlineLevel="0" collapsed="false">
      <c r="A29" s="18"/>
      <c r="B29" s="17"/>
      <c r="C29" s="17"/>
      <c r="D29" s="124"/>
      <c r="E29" s="120"/>
    </row>
    <row r="30" customFormat="false" ht="12.75" hidden="false" customHeight="false" outlineLevel="0" collapsed="false">
      <c r="A30" s="125" t="s">
        <v>108</v>
      </c>
      <c r="B30" s="62"/>
      <c r="C30" s="62"/>
      <c r="D30" s="126"/>
      <c r="E30" s="120"/>
    </row>
    <row r="31" customFormat="false" ht="12.75" hidden="false" customHeight="false" outlineLevel="0" collapsed="false">
      <c r="A31" s="73"/>
      <c r="B31" s="74" t="s">
        <v>109</v>
      </c>
      <c r="C31" s="74"/>
      <c r="D31" s="127" t="n">
        <v>0.5</v>
      </c>
      <c r="E31" s="120"/>
    </row>
    <row r="32" customFormat="false" ht="12.75" hidden="false" customHeight="false" outlineLevel="0" collapsed="false">
      <c r="A32" s="18"/>
      <c r="B32" s="17" t="s">
        <v>110</v>
      </c>
      <c r="C32" s="17"/>
      <c r="D32" s="128" t="n">
        <f aca="false">'Fin Stats and Ratios'!G15</f>
        <v>0.075</v>
      </c>
      <c r="E32" s="120"/>
    </row>
    <row r="33" customFormat="false" ht="12.75" hidden="false" customHeight="false" outlineLevel="0" collapsed="false">
      <c r="A33" s="93"/>
      <c r="B33" s="103" t="s">
        <v>111</v>
      </c>
      <c r="C33" s="103"/>
      <c r="D33" s="129" t="n">
        <f aca="false">D15</f>
        <v>10</v>
      </c>
      <c r="E33" s="120"/>
    </row>
    <row r="34" customFormat="false" ht="12.75" hidden="false" customHeight="false" outlineLevel="0" collapsed="false">
      <c r="E34" s="120"/>
    </row>
    <row r="36" customFormat="false" ht="12.75" hidden="false" customHeight="false" outlineLevel="0" collapsed="false">
      <c r="A36" s="130" t="s">
        <v>112</v>
      </c>
      <c r="B36" s="131"/>
      <c r="C36" s="131"/>
      <c r="D36" s="131"/>
      <c r="E36" s="131"/>
      <c r="F36" s="131"/>
      <c r="G36" s="131"/>
      <c r="H36" s="131"/>
      <c r="I36" s="131"/>
      <c r="J36" s="131"/>
    </row>
    <row r="37" customFormat="false" ht="38.25" hidden="false" customHeight="false" outlineLevel="0" collapsed="false">
      <c r="A37" s="73"/>
      <c r="B37" s="74"/>
      <c r="C37" s="132" t="s">
        <v>113</v>
      </c>
      <c r="D37" s="132" t="s">
        <v>114</v>
      </c>
      <c r="E37" s="132" t="s">
        <v>115</v>
      </c>
      <c r="F37" s="132" t="s">
        <v>116</v>
      </c>
      <c r="G37" s="132" t="s">
        <v>117</v>
      </c>
      <c r="H37" s="132" t="s">
        <v>118</v>
      </c>
      <c r="I37" s="133" t="s">
        <v>119</v>
      </c>
      <c r="J37" s="89"/>
    </row>
    <row r="38" customFormat="false" ht="12.75" hidden="false" customHeight="false" outlineLevel="0" collapsed="false">
      <c r="A38" s="18"/>
      <c r="B38" s="17" t="str">
        <f aca="false">'Pipeline Co DCF'!A2</f>
        <v>Panhandle Eastern</v>
      </c>
      <c r="C38" s="134" t="n">
        <v>1</v>
      </c>
      <c r="D38" s="135" t="str">
        <f aca="false">$D$8</f>
        <v>ETS</v>
      </c>
      <c r="E38" s="135" t="n">
        <v>12</v>
      </c>
      <c r="F38" s="135"/>
      <c r="G38" s="135" t="n">
        <v>1</v>
      </c>
      <c r="H38" s="136" t="n">
        <v>0.125</v>
      </c>
      <c r="I38" s="137" t="str">
        <f aca="false">IF(Asset3Loop=1,"Run Macro!","Okay")</f>
        <v>Run Macro!</v>
      </c>
      <c r="J38" s="67"/>
    </row>
    <row r="39" customFormat="false" ht="12.75" hidden="false" customHeight="false" outlineLevel="0" collapsed="false">
      <c r="A39" s="18"/>
      <c r="B39" s="138" t="s">
        <v>120</v>
      </c>
      <c r="C39" s="139" t="n">
        <v>1</v>
      </c>
      <c r="D39" s="17"/>
      <c r="E39" s="17"/>
      <c r="F39" s="17"/>
      <c r="G39" s="17"/>
      <c r="H39" s="17"/>
      <c r="I39" s="140"/>
      <c r="J39" s="67"/>
    </row>
    <row r="40" customFormat="false" ht="12.75" hidden="false" customHeight="false" outlineLevel="0" collapsed="false">
      <c r="A40" s="18"/>
      <c r="B40" s="17"/>
      <c r="C40" s="17"/>
      <c r="D40" s="17"/>
      <c r="E40" s="17"/>
      <c r="F40" s="17"/>
      <c r="G40" s="17"/>
      <c r="H40" s="17"/>
      <c r="I40" s="140"/>
      <c r="J40" s="67"/>
    </row>
    <row r="41" customFormat="false" ht="12.75" hidden="false" customHeight="false" outlineLevel="0" collapsed="false">
      <c r="A41" s="18"/>
      <c r="B41" s="17" t="str">
        <f aca="false">'Consumers DCF'!A2</f>
        <v>Consumers Energy</v>
      </c>
      <c r="C41" s="134" t="n">
        <v>1</v>
      </c>
      <c r="D41" s="135" t="str">
        <f aca="false">$D$8</f>
        <v>ETS</v>
      </c>
      <c r="E41" s="135" t="n">
        <v>12</v>
      </c>
      <c r="F41" s="135"/>
      <c r="G41" s="135" t="n">
        <v>1</v>
      </c>
      <c r="H41" s="136" t="n">
        <v>0.125</v>
      </c>
      <c r="I41" s="137" t="str">
        <f aca="false">IF(Asset2Loop=1,"Run Macro!","Okay")</f>
        <v>Run Macro!</v>
      </c>
      <c r="J41" s="67"/>
    </row>
    <row r="42" customFormat="false" ht="12.75" hidden="false" customHeight="false" outlineLevel="0" collapsed="false">
      <c r="A42" s="18"/>
      <c r="B42" s="138" t="s">
        <v>120</v>
      </c>
      <c r="C42" s="139" t="n">
        <v>1</v>
      </c>
      <c r="D42" s="17"/>
      <c r="E42" s="17"/>
      <c r="F42" s="17"/>
      <c r="G42" s="17"/>
      <c r="H42" s="17"/>
      <c r="I42" s="140"/>
      <c r="J42" s="67"/>
    </row>
    <row r="43" customFormat="false" ht="12.75" hidden="false" customHeight="false" outlineLevel="0" collapsed="false">
      <c r="A43" s="18"/>
      <c r="B43" s="17"/>
      <c r="C43" s="17"/>
      <c r="D43" s="17"/>
      <c r="E43" s="17"/>
      <c r="F43" s="17"/>
      <c r="G43" s="17"/>
      <c r="H43" s="17"/>
      <c r="I43" s="140"/>
      <c r="J43" s="67"/>
    </row>
    <row r="44" customFormat="false" ht="12.75" hidden="false" customHeight="false" outlineLevel="0" collapsed="false">
      <c r="A44" s="18"/>
      <c r="B44" s="17" t="str">
        <f aca="false">'Corp DCF'!A2</f>
        <v>Other</v>
      </c>
      <c r="C44" s="134" t="n">
        <v>1</v>
      </c>
      <c r="D44" s="135" t="str">
        <f aca="false">$D$8</f>
        <v>ETS</v>
      </c>
      <c r="E44" s="135" t="n">
        <v>12</v>
      </c>
      <c r="F44" s="135"/>
      <c r="G44" s="135" t="n">
        <v>1</v>
      </c>
      <c r="H44" s="136" t="n">
        <v>0.125</v>
      </c>
      <c r="I44" s="141" t="str">
        <f aca="false">IF(Asset3Loop=1,"Run Macro!","Okay")</f>
        <v>Run Macro!</v>
      </c>
      <c r="J44" s="67"/>
    </row>
    <row r="45" customFormat="false" ht="12.75" hidden="false" customHeight="false" outlineLevel="0" collapsed="false">
      <c r="A45" s="18"/>
      <c r="B45" s="138" t="s">
        <v>120</v>
      </c>
      <c r="C45" s="139" t="n">
        <v>1</v>
      </c>
      <c r="D45" s="17"/>
      <c r="E45" s="17"/>
      <c r="F45" s="17"/>
      <c r="G45" s="17"/>
      <c r="H45" s="17"/>
      <c r="I45" s="140"/>
      <c r="J45" s="67"/>
    </row>
    <row r="46" customFormat="false" ht="12.75" hidden="false" customHeight="false" outlineLevel="0" collapsed="false">
      <c r="A46" s="18"/>
      <c r="B46" s="17"/>
      <c r="C46" s="17"/>
      <c r="D46" s="17"/>
      <c r="E46" s="17"/>
      <c r="F46" s="17"/>
      <c r="G46" s="17"/>
      <c r="H46" s="17"/>
      <c r="I46" s="140"/>
      <c r="J46" s="67"/>
    </row>
    <row r="47" customFormat="false" ht="12.75" hidden="false" customHeight="false" outlineLevel="0" collapsed="false">
      <c r="A47" s="18"/>
      <c r="B47" s="17"/>
      <c r="C47" s="17"/>
      <c r="D47" s="17"/>
      <c r="E47" s="17"/>
      <c r="F47" s="17"/>
      <c r="G47" s="17"/>
      <c r="H47" s="17"/>
      <c r="I47" s="17"/>
      <c r="J47" s="67"/>
    </row>
    <row r="48" customFormat="false" ht="15" hidden="false" customHeight="false" outlineLevel="0" collapsed="false">
      <c r="A48" s="142" t="s">
        <v>121</v>
      </c>
      <c r="B48" s="17"/>
      <c r="C48" s="17"/>
      <c r="D48" s="17"/>
      <c r="E48" s="17"/>
      <c r="F48" s="17"/>
      <c r="G48" s="17"/>
      <c r="H48" s="17"/>
      <c r="I48" s="17"/>
      <c r="J48" s="67"/>
    </row>
    <row r="49" customFormat="false" ht="12.75" hidden="false" customHeight="false" outlineLevel="0" collapsed="false">
      <c r="A49" s="18"/>
      <c r="B49" s="73"/>
      <c r="C49" s="143" t="s">
        <v>122</v>
      </c>
      <c r="D49" s="143"/>
      <c r="E49" s="144"/>
      <c r="F49" s="17"/>
      <c r="G49" s="17"/>
      <c r="H49" s="17"/>
      <c r="I49" s="17"/>
      <c r="J49" s="67"/>
    </row>
    <row r="50" customFormat="false" ht="12.75" hidden="false" customHeight="false" outlineLevel="0" collapsed="false">
      <c r="A50" s="18"/>
      <c r="B50" s="145" t="s">
        <v>123</v>
      </c>
      <c r="C50" s="146"/>
      <c r="D50" s="147"/>
      <c r="E50" s="148"/>
      <c r="F50" s="149"/>
      <c r="G50" s="17"/>
      <c r="H50" s="17"/>
      <c r="I50" s="17"/>
      <c r="J50" s="67"/>
    </row>
    <row r="51" customFormat="false" ht="12.75" hidden="false" customHeight="false" outlineLevel="0" collapsed="false">
      <c r="A51" s="18"/>
      <c r="B51" s="150" t="s">
        <v>124</v>
      </c>
      <c r="C51" s="151" t="s">
        <v>125</v>
      </c>
      <c r="D51" s="151"/>
      <c r="E51" s="152"/>
      <c r="F51" s="149"/>
      <c r="G51" s="17"/>
      <c r="H51" s="17"/>
      <c r="I51" s="17"/>
      <c r="J51" s="67"/>
    </row>
    <row r="52" customFormat="false" ht="13.5" hidden="false" customHeight="false" outlineLevel="0" collapsed="false">
      <c r="A52" s="18"/>
      <c r="B52" s="153" t="s">
        <v>126</v>
      </c>
      <c r="C52" s="154" t="s">
        <v>127</v>
      </c>
      <c r="D52" s="154"/>
      <c r="E52" s="155"/>
      <c r="F52" s="149"/>
      <c r="G52" s="17"/>
      <c r="H52" s="17"/>
      <c r="I52" s="17"/>
      <c r="J52" s="67"/>
    </row>
    <row r="53" customFormat="false" ht="12.75" hidden="false" customHeight="false" outlineLevel="0" collapsed="false">
      <c r="A53" s="18"/>
      <c r="B53" s="17"/>
      <c r="C53" s="17"/>
      <c r="D53" s="17"/>
      <c r="E53" s="17"/>
      <c r="F53" s="17"/>
      <c r="G53" s="17"/>
      <c r="H53" s="17"/>
      <c r="I53" s="17"/>
      <c r="J53" s="67"/>
    </row>
    <row r="54" customFormat="false" ht="15" hidden="false" customHeight="false" outlineLevel="0" collapsed="false">
      <c r="A54" s="142" t="s">
        <v>128</v>
      </c>
      <c r="B54" s="17"/>
      <c r="C54" s="17"/>
      <c r="D54" s="17"/>
      <c r="E54" s="17"/>
      <c r="F54" s="17"/>
      <c r="G54" s="17"/>
      <c r="H54" s="17"/>
      <c r="I54" s="17"/>
      <c r="J54" s="67"/>
    </row>
    <row r="55" customFormat="false" ht="12.75" hidden="false" customHeight="false" outlineLevel="0" collapsed="false">
      <c r="A55" s="18"/>
      <c r="B55" s="73"/>
      <c r="C55" s="143" t="s">
        <v>122</v>
      </c>
      <c r="D55" s="143"/>
      <c r="E55" s="144"/>
      <c r="F55" s="17"/>
      <c r="G55" s="17"/>
      <c r="H55" s="17"/>
      <c r="I55" s="17"/>
      <c r="J55" s="67"/>
    </row>
    <row r="56" customFormat="false" ht="12.75" hidden="false" customHeight="false" outlineLevel="0" collapsed="false">
      <c r="A56" s="18"/>
      <c r="B56" s="145" t="s">
        <v>123</v>
      </c>
      <c r="C56" s="146"/>
      <c r="D56" s="147"/>
      <c r="E56" s="148"/>
      <c r="F56" s="149"/>
      <c r="G56" s="17"/>
      <c r="H56" s="17"/>
      <c r="I56" s="17"/>
      <c r="J56" s="67"/>
    </row>
    <row r="57" customFormat="false" ht="12.75" hidden="false" customHeight="false" outlineLevel="0" collapsed="false">
      <c r="A57" s="18"/>
      <c r="B57" s="145" t="s">
        <v>124</v>
      </c>
      <c r="C57" s="147" t="s">
        <v>127</v>
      </c>
      <c r="D57" s="147"/>
      <c r="E57" s="148"/>
      <c r="F57" s="149"/>
      <c r="G57" s="17"/>
      <c r="H57" s="17"/>
      <c r="I57" s="17"/>
      <c r="J57" s="67"/>
    </row>
    <row r="58" customFormat="false" ht="12.75" hidden="false" customHeight="false" outlineLevel="0" collapsed="false">
      <c r="A58" s="93"/>
      <c r="B58" s="150" t="s">
        <v>126</v>
      </c>
      <c r="C58" s="151" t="s">
        <v>125</v>
      </c>
      <c r="D58" s="151"/>
      <c r="E58" s="152"/>
      <c r="F58" s="156"/>
      <c r="G58" s="103"/>
      <c r="H58" s="103"/>
      <c r="I58" s="103"/>
      <c r="J58" s="123"/>
    </row>
  </sheetData>
  <printOptions headings="false" gridLines="false" gridLinesSet="true" horizontalCentered="false" verticalCentered="false"/>
  <pageMargins left="0.170138888888889" right="0.1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rowBreaks count="1" manualBreakCount="1">
    <brk id="41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9.85"/>
    <col collapsed="false" customWidth="true" hidden="false" outlineLevel="0" max="5" min="5" style="0" width="15.41"/>
    <col collapsed="false" customWidth="true" hidden="false" outlineLevel="0" max="8" min="8" style="0" width="10.28"/>
    <col collapsed="false" customWidth="true" hidden="false" outlineLevel="0" max="9" min="9" style="0" width="14.14"/>
    <col collapsed="false" customWidth="true" hidden="false" outlineLevel="0" max="10" min="10" style="0" width="15.99"/>
    <col collapsed="false" customWidth="true" hidden="false" outlineLevel="0" max="11" min="11" style="0" width="10.71"/>
    <col collapsed="false" customWidth="true" hidden="false" outlineLevel="0" max="12" min="12" style="0" width="14.28"/>
  </cols>
  <sheetData>
    <row r="1" customFormat="false" ht="20.25" hidden="false" customHeight="false" outlineLevel="0" collapsed="false">
      <c r="A1" s="157" t="str">
        <f aca="false">"Project "&amp;Assumptions!D7</f>
        <v>Project Wolverine</v>
      </c>
      <c r="B1" s="158"/>
      <c r="C1" s="158"/>
      <c r="D1" s="158"/>
      <c r="E1" s="159"/>
      <c r="F1" s="160"/>
      <c r="G1" s="160"/>
      <c r="H1" s="160"/>
      <c r="I1" s="160"/>
      <c r="J1" s="160"/>
      <c r="K1" s="160"/>
      <c r="L1" s="160"/>
      <c r="M1" s="160"/>
    </row>
    <row r="2" customFormat="false" ht="16.5" hidden="false" customHeight="false" outlineLevel="0" collapsed="false">
      <c r="A2" s="161" t="s">
        <v>129</v>
      </c>
      <c r="B2" s="162"/>
      <c r="C2" s="162"/>
      <c r="D2" s="162"/>
      <c r="E2" s="163"/>
      <c r="F2" s="160"/>
      <c r="G2" s="160"/>
      <c r="H2" s="160"/>
      <c r="I2" s="160"/>
      <c r="J2" s="160"/>
      <c r="K2" s="160"/>
      <c r="L2" s="160"/>
      <c r="M2" s="160"/>
    </row>
    <row r="3" customFormat="false" ht="15.75" hidden="false" customHeight="false" outlineLevel="0" collapsed="false">
      <c r="A3" s="164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customFormat="false" ht="12.75" hidden="false" customHeight="false" outlineLevel="0" collapsed="false">
      <c r="A4" s="130" t="s">
        <v>130</v>
      </c>
      <c r="B4" s="165"/>
      <c r="C4" s="165"/>
      <c r="D4" s="165"/>
      <c r="E4" s="166" t="s">
        <v>131</v>
      </c>
      <c r="F4" s="160"/>
      <c r="L4" s="160"/>
      <c r="M4" s="160"/>
    </row>
    <row r="5" customFormat="false" ht="13.5" hidden="false" customHeight="true" outlineLevel="0" collapsed="false">
      <c r="A5" s="167" t="str">
        <f aca="false">'Pipeline Co DCF'!A2</f>
        <v>Panhandle Eastern</v>
      </c>
      <c r="C5" s="168" t="n">
        <f aca="false">Assumptions!C38</f>
        <v>1</v>
      </c>
      <c r="D5" s="169"/>
      <c r="E5" s="170" t="n">
        <f aca="false">IF(C5=1,Asset3PurPrice,0)</f>
        <v>2875629.9945916</v>
      </c>
      <c r="F5" s="160"/>
      <c r="L5" s="160"/>
      <c r="M5" s="160"/>
    </row>
    <row r="6" customFormat="false" ht="13.5" hidden="false" customHeight="true" outlineLevel="0" collapsed="false">
      <c r="A6" s="171" t="str">
        <f aca="false">'Consumers DCF'!A2</f>
        <v>Consumers Energy</v>
      </c>
      <c r="C6" s="172" t="n">
        <f aca="false">Assumptions!C41</f>
        <v>1</v>
      </c>
      <c r="D6" s="140"/>
      <c r="E6" s="173" t="n">
        <f aca="false">IF(C6=1,Asset1PurPrice,0)</f>
        <v>27999.0482348996</v>
      </c>
      <c r="F6" s="160"/>
      <c r="L6" s="160"/>
      <c r="M6" s="160"/>
    </row>
    <row r="7" customFormat="false" ht="12.75" hidden="false" customHeight="false" outlineLevel="0" collapsed="false">
      <c r="A7" s="174" t="str">
        <f aca="false">'Corp DCF'!A2</f>
        <v>Other</v>
      </c>
      <c r="B7" s="103"/>
      <c r="C7" s="175" t="n">
        <f aca="false">Assumptions!C44</f>
        <v>1</v>
      </c>
      <c r="D7" s="176"/>
      <c r="E7" s="177" t="n">
        <f aca="false">IF(C7=1,Asset2PurPrice,0)</f>
        <v>1940.65905550069</v>
      </c>
      <c r="F7" s="178"/>
      <c r="L7" s="160"/>
      <c r="M7" s="160"/>
    </row>
    <row r="8" customFormat="false" ht="12.75" hidden="false" customHeight="false" outlineLevel="0" collapsed="false">
      <c r="A8" s="179"/>
      <c r="B8" s="160"/>
      <c r="C8" s="140"/>
      <c r="D8" s="140"/>
      <c r="E8" s="140"/>
      <c r="F8" s="178"/>
      <c r="G8" s="160"/>
      <c r="H8" s="160"/>
      <c r="I8" s="160"/>
      <c r="J8" s="160"/>
      <c r="K8" s="160"/>
      <c r="L8" s="160"/>
      <c r="M8" s="160"/>
    </row>
    <row r="9" customFormat="false" ht="12.75" hidden="false" customHeight="false" outlineLevel="0" collapsed="false">
      <c r="A9" s="180" t="s">
        <v>132</v>
      </c>
      <c r="B9" s="181"/>
      <c r="C9" s="181"/>
      <c r="D9" s="181"/>
      <c r="E9" s="182" t="s">
        <v>133</v>
      </c>
      <c r="G9" s="180" t="s">
        <v>134</v>
      </c>
      <c r="H9" s="181"/>
      <c r="I9" s="183"/>
      <c r="J9" s="184"/>
      <c r="K9" s="182" t="s">
        <v>133</v>
      </c>
      <c r="M9" s="160"/>
    </row>
    <row r="10" customFormat="false" ht="12.75" hidden="false" customHeight="false" outlineLevel="0" collapsed="false">
      <c r="A10" s="185" t="s">
        <v>135</v>
      </c>
      <c r="B10" s="186"/>
      <c r="C10" s="186"/>
      <c r="D10" s="187" t="n">
        <f aca="false">1-D11</f>
        <v>0.5</v>
      </c>
      <c r="E10" s="173" t="n">
        <f aca="false">D10*K10</f>
        <v>1452784.850941</v>
      </c>
      <c r="G10" s="188" t="s">
        <v>136</v>
      </c>
      <c r="H10" s="189"/>
      <c r="I10" s="190"/>
      <c r="J10" s="191"/>
      <c r="K10" s="170" t="n">
        <f aca="false">SUM(E5:E7)</f>
        <v>2905569.701882</v>
      </c>
      <c r="M10" s="160"/>
    </row>
    <row r="11" customFormat="false" ht="12.75" hidden="false" customHeight="false" outlineLevel="0" collapsed="false">
      <c r="A11" s="185" t="s">
        <v>137</v>
      </c>
      <c r="B11" s="186"/>
      <c r="C11" s="186"/>
      <c r="D11" s="187" t="n">
        <f aca="false">Assumptions!D31</f>
        <v>0.5</v>
      </c>
      <c r="E11" s="177" t="n">
        <f aca="false">D11*K10</f>
        <v>1452784.850941</v>
      </c>
      <c r="G11" s="185" t="s">
        <v>138</v>
      </c>
      <c r="H11" s="192"/>
      <c r="I11" s="193"/>
      <c r="J11" s="194"/>
      <c r="K11" s="195" t="n">
        <v>0</v>
      </c>
      <c r="M11" s="160"/>
    </row>
    <row r="12" customFormat="false" ht="12.75" hidden="false" customHeight="false" outlineLevel="0" collapsed="false">
      <c r="A12" s="196" t="s">
        <v>88</v>
      </c>
      <c r="B12" s="197"/>
      <c r="C12" s="197"/>
      <c r="D12" s="197"/>
      <c r="E12" s="177" t="n">
        <f aca="false">SUM(E10:E11)</f>
        <v>2905569.701882</v>
      </c>
      <c r="G12" s="198"/>
      <c r="H12" s="197"/>
      <c r="I12" s="197"/>
      <c r="J12" s="199"/>
      <c r="K12" s="177" t="n">
        <f aca="false">SUM(K10:K11)</f>
        <v>2905569.701882</v>
      </c>
      <c r="M12" s="160"/>
    </row>
    <row r="13" customFormat="false" ht="12.75" hidden="false" customHeight="false" outlineLevel="0" collapsed="false">
      <c r="G13" s="160"/>
      <c r="M13" s="160"/>
    </row>
    <row r="14" customFormat="false" ht="24" hidden="false" customHeight="false" outlineLevel="0" collapsed="false">
      <c r="A14" s="200" t="s">
        <v>139</v>
      </c>
      <c r="B14" s="201"/>
      <c r="C14" s="202"/>
      <c r="D14" s="202"/>
      <c r="E14" s="203" t="s">
        <v>140</v>
      </c>
      <c r="F14" s="203" t="s">
        <v>141</v>
      </c>
      <c r="G14" s="203" t="s">
        <v>110</v>
      </c>
      <c r="H14" s="203" t="s">
        <v>142</v>
      </c>
      <c r="I14" s="203" t="s">
        <v>143</v>
      </c>
      <c r="J14" s="204" t="s">
        <v>144</v>
      </c>
      <c r="M14" s="160"/>
    </row>
    <row r="15" customFormat="false" ht="12.75" hidden="false" customHeight="false" outlineLevel="0" collapsed="false">
      <c r="A15" s="185"/>
      <c r="B15" s="140"/>
      <c r="C15" s="205"/>
      <c r="D15" s="206" t="s">
        <v>145</v>
      </c>
      <c r="E15" s="207" t="n">
        <v>0.5</v>
      </c>
      <c r="F15" s="208" t="n">
        <v>10</v>
      </c>
      <c r="G15" s="209" t="n">
        <f aca="false">Scenarios!B45</f>
        <v>0.075</v>
      </c>
      <c r="H15" s="210" t="n">
        <v>1</v>
      </c>
      <c r="I15" s="211" t="n">
        <v>2</v>
      </c>
      <c r="J15" s="212" t="n">
        <v>1</v>
      </c>
      <c r="M15" s="160"/>
    </row>
    <row r="16" customFormat="false" ht="12.75" hidden="false" customHeight="false" outlineLevel="0" collapsed="false">
      <c r="A16" s="185"/>
      <c r="B16" s="140"/>
      <c r="C16" s="205"/>
      <c r="D16" s="206" t="s">
        <v>146</v>
      </c>
      <c r="E16" s="207" t="n">
        <v>0</v>
      </c>
      <c r="F16" s="208" t="n">
        <v>8</v>
      </c>
      <c r="G16" s="209" t="n">
        <f aca="false">6.82%+3.5%</f>
        <v>0.1032</v>
      </c>
      <c r="H16" s="210" t="n">
        <v>1</v>
      </c>
      <c r="I16" s="211" t="n">
        <v>2</v>
      </c>
      <c r="J16" s="212" t="n">
        <v>0.2</v>
      </c>
      <c r="M16" s="160"/>
    </row>
    <row r="17" customFormat="false" ht="12.75" hidden="false" customHeight="false" outlineLevel="0" collapsed="false">
      <c r="A17" s="185"/>
      <c r="B17" s="140"/>
      <c r="C17" s="205"/>
      <c r="D17" s="206" t="s">
        <v>147</v>
      </c>
      <c r="E17" s="213" t="n">
        <f aca="false">D11-E15-E16</f>
        <v>0</v>
      </c>
      <c r="F17" s="208" t="n">
        <v>7</v>
      </c>
      <c r="G17" s="209" t="n">
        <f aca="false">5.8%+5.2%</f>
        <v>0.11</v>
      </c>
      <c r="H17" s="210" t="n">
        <v>0</v>
      </c>
      <c r="I17" s="211" t="n">
        <v>1</v>
      </c>
      <c r="J17" s="212" t="n">
        <v>0</v>
      </c>
      <c r="M17" s="160"/>
    </row>
    <row r="18" customFormat="false" ht="12.75" hidden="false" customHeight="false" outlineLevel="0" collapsed="false">
      <c r="A18" s="185"/>
      <c r="B18" s="140"/>
      <c r="C18" s="205"/>
      <c r="D18" s="206" t="s">
        <v>148</v>
      </c>
      <c r="E18" s="213" t="s">
        <v>149</v>
      </c>
      <c r="F18" s="208" t="s">
        <v>149</v>
      </c>
      <c r="G18" s="209" t="n">
        <v>0.095</v>
      </c>
      <c r="H18" s="210" t="n">
        <v>1</v>
      </c>
      <c r="I18" s="211" t="s">
        <v>149</v>
      </c>
      <c r="J18" s="212" t="s">
        <v>149</v>
      </c>
      <c r="M18" s="160"/>
    </row>
    <row r="19" customFormat="false" ht="12.75" hidden="false" customHeight="false" outlineLevel="0" collapsed="false">
      <c r="A19" s="185"/>
      <c r="B19" s="206"/>
      <c r="C19" s="205"/>
      <c r="D19" s="205" t="s">
        <v>150</v>
      </c>
      <c r="E19" s="207" t="n">
        <v>0.5</v>
      </c>
      <c r="F19" s="214"/>
      <c r="G19" s="214"/>
      <c r="H19" s="214"/>
      <c r="I19" s="215"/>
      <c r="J19" s="216"/>
      <c r="M19" s="160"/>
    </row>
    <row r="20" customFormat="false" ht="12.75" hidden="false" customHeight="false" outlineLevel="0" collapsed="false">
      <c r="A20" s="198"/>
      <c r="B20" s="217"/>
      <c r="C20" s="218"/>
      <c r="D20" s="218" t="s">
        <v>151</v>
      </c>
      <c r="E20" s="219" t="n">
        <v>0.5</v>
      </c>
      <c r="F20" s="220" t="s">
        <v>152</v>
      </c>
      <c r="G20" s="221"/>
      <c r="H20" s="221"/>
      <c r="I20" s="103"/>
      <c r="J20" s="222"/>
      <c r="M20" s="160"/>
    </row>
    <row r="21" customFormat="false" ht="12.75" hidden="false" customHeight="false" outlineLevel="0" collapsed="false">
      <c r="M21" s="160"/>
    </row>
    <row r="22" customFormat="false" ht="12.75" hidden="false" customHeight="false" outlineLevel="0" collapsed="false">
      <c r="A22" s="130" t="s">
        <v>153</v>
      </c>
      <c r="B22" s="223"/>
      <c r="C22" s="223"/>
      <c r="D22" s="223"/>
      <c r="E22" s="223"/>
      <c r="M22" s="160"/>
    </row>
    <row r="23" customFormat="false" ht="12.75" hidden="false" customHeight="false" outlineLevel="0" collapsed="false">
      <c r="A23" s="167" t="s">
        <v>154</v>
      </c>
      <c r="B23" s="169"/>
      <c r="C23" s="169"/>
      <c r="D23" s="169"/>
      <c r="E23" s="224" t="n">
        <f aca="false">([4]BS!P11-[4]BS!P7-[4]BS!P19)/2/'[4]Curves Assumptions'!O13</f>
        <v>20.960927605959</v>
      </c>
      <c r="M23" s="160"/>
    </row>
    <row r="24" customFormat="false" ht="12.75" hidden="false" customHeight="false" outlineLevel="0" collapsed="false">
      <c r="A24" s="171" t="s">
        <v>155</v>
      </c>
      <c r="B24" s="140"/>
      <c r="C24" s="140"/>
      <c r="D24" s="140"/>
      <c r="E24" s="225" t="n">
        <v>0</v>
      </c>
      <c r="M24" s="160"/>
    </row>
    <row r="25" customFormat="false" ht="12.75" hidden="false" customHeight="false" outlineLevel="0" collapsed="false">
      <c r="A25" s="226" t="s">
        <v>156</v>
      </c>
      <c r="B25" s="140"/>
      <c r="C25" s="140"/>
      <c r="D25" s="140"/>
      <c r="E25" s="227" t="e">
        <f aca="false">IF(#REF!&gt;1-E20," Warning: Reset FCF toggle","OK")</f>
        <v>#REF!</v>
      </c>
      <c r="M25" s="160"/>
    </row>
    <row r="26" customFormat="false" ht="12.75" hidden="false" customHeight="false" outlineLevel="0" collapsed="false">
      <c r="A26" s="226" t="str">
        <f aca="false">IF(SUM([4]BS!P20:T20)=0,"Note: No revolver is being drawn","Warning: Revolver is being drawn")</f>
        <v>Note: No revolver is being drawn</v>
      </c>
      <c r="B26" s="140"/>
      <c r="C26" s="228"/>
      <c r="D26" s="140"/>
      <c r="E26" s="227"/>
      <c r="M26" s="160"/>
    </row>
    <row r="27" customFormat="false" ht="12.75" hidden="false" customHeight="false" outlineLevel="0" collapsed="false">
      <c r="A27" s="229" t="s">
        <v>157</v>
      </c>
      <c r="B27" s="176"/>
      <c r="C27" s="176"/>
      <c r="D27" s="176"/>
      <c r="E27" s="230" t="n">
        <f aca="false">-PV(L37,5,0,[4]DCF_US!P46)/E10</f>
        <v>0.000119577287837148</v>
      </c>
      <c r="F27" s="214"/>
      <c r="G27" s="214"/>
      <c r="H27" s="214"/>
      <c r="I27" s="231"/>
      <c r="J27" s="231"/>
      <c r="M27" s="160"/>
    </row>
    <row r="28" customFormat="false" ht="12.75" hidden="false" customHeight="false" outlineLevel="0" collapsed="false">
      <c r="M28" s="160"/>
    </row>
    <row r="29" customFormat="false" ht="12.75" hidden="false" customHeight="false" outlineLevel="0" collapsed="false">
      <c r="A29" s="180" t="s">
        <v>158</v>
      </c>
      <c r="B29" s="181"/>
      <c r="C29" s="181"/>
      <c r="D29" s="181"/>
      <c r="E29" s="181"/>
      <c r="F29" s="181"/>
      <c r="G29" s="160"/>
      <c r="H29" s="180" t="s">
        <v>159</v>
      </c>
      <c r="I29" s="181"/>
      <c r="J29" s="181"/>
      <c r="K29" s="184"/>
      <c r="L29" s="184" t="s">
        <v>133</v>
      </c>
      <c r="M29" s="160"/>
    </row>
    <row r="30" customFormat="false" ht="12.75" hidden="false" customHeight="false" outlineLevel="0" collapsed="false">
      <c r="A30" s="185" t="s">
        <v>160</v>
      </c>
      <c r="B30" s="192"/>
      <c r="C30" s="192"/>
      <c r="D30" s="192"/>
      <c r="E30" s="192"/>
      <c r="F30" s="232" t="n">
        <v>2.6</v>
      </c>
      <c r="G30" s="233"/>
      <c r="H30" s="188" t="s">
        <v>161</v>
      </c>
      <c r="I30" s="189"/>
      <c r="J30" s="189"/>
      <c r="K30" s="234"/>
      <c r="L30" s="235" t="n">
        <f aca="false">E12/'[4]Volume Assumptions'!$P$38*1000</f>
        <v>5645605.72735341</v>
      </c>
      <c r="M30" s="160"/>
    </row>
    <row r="31" customFormat="false" ht="12.75" hidden="false" customHeight="false" outlineLevel="0" collapsed="false">
      <c r="A31" s="185" t="s">
        <v>162</v>
      </c>
      <c r="B31" s="192"/>
      <c r="C31" s="192"/>
      <c r="D31" s="192"/>
      <c r="E31" s="192"/>
      <c r="F31" s="236" t="n">
        <v>3</v>
      </c>
      <c r="G31" s="160"/>
      <c r="H31" s="185" t="s">
        <v>163</v>
      </c>
      <c r="I31" s="192"/>
      <c r="J31" s="192"/>
      <c r="K31" s="237"/>
      <c r="L31" s="238" t="n">
        <f aca="false">E12/('[4]P&amp;L'!$J$13/'[4]Curves Assumptions'!O13)</f>
        <v>42228.6519269265</v>
      </c>
      <c r="M31" s="160"/>
    </row>
    <row r="32" customFormat="false" ht="12.75" hidden="false" customHeight="false" outlineLevel="0" collapsed="false">
      <c r="A32" s="185" t="s">
        <v>164</v>
      </c>
      <c r="B32" s="192"/>
      <c r="C32" s="192"/>
      <c r="D32" s="192"/>
      <c r="E32" s="192"/>
      <c r="F32" s="239" t="n">
        <f aca="false">MIN([4]BS!P36:T36)</f>
        <v>3.86382100393384</v>
      </c>
      <c r="G32" s="160"/>
      <c r="H32" s="185" t="s">
        <v>165</v>
      </c>
      <c r="I32" s="192"/>
      <c r="J32" s="192"/>
      <c r="K32" s="237"/>
      <c r="L32" s="238" t="n">
        <f aca="false">E12/('[4]P&amp;L'!$P$13/'[4]Curves Assumptions'!P13)</f>
        <v>40016.8314563799</v>
      </c>
      <c r="M32" s="240"/>
    </row>
    <row r="33" customFormat="false" ht="12.75" hidden="false" customHeight="false" outlineLevel="0" collapsed="false">
      <c r="A33" s="185" t="s">
        <v>166</v>
      </c>
      <c r="B33" s="192"/>
      <c r="C33" s="192"/>
      <c r="D33" s="192"/>
      <c r="E33" s="192"/>
      <c r="F33" s="241" t="str">
        <f aca="false">IF(MAX([4]Debt!P47:T47)&gt;E23,"Default","OK")</f>
        <v>OK</v>
      </c>
      <c r="G33" s="160"/>
      <c r="H33" s="185" t="s">
        <v>167</v>
      </c>
      <c r="I33" s="140"/>
      <c r="J33" s="140"/>
      <c r="K33" s="237"/>
      <c r="L33" s="238" t="e">
        <f aca="false">(K10+#REF!-#REF!)/(AVERAGE('[4]P&amp;L'!E13:I13)/'[4]Curves Assumptions'!O13)</f>
        <v>#REF!</v>
      </c>
      <c r="M33" s="240"/>
    </row>
    <row r="34" customFormat="false" ht="12.75" hidden="false" customHeight="false" outlineLevel="0" collapsed="false">
      <c r="A34" s="185" t="s">
        <v>168</v>
      </c>
      <c r="B34" s="192"/>
      <c r="C34" s="192"/>
      <c r="D34" s="192"/>
      <c r="E34" s="192"/>
      <c r="F34" s="239" t="n">
        <f aca="false">MAX([4]BS!O33:T33)</f>
        <v>48.6200808875489</v>
      </c>
      <c r="G34" s="160"/>
      <c r="H34" s="185" t="s">
        <v>169</v>
      </c>
      <c r="I34" s="140"/>
      <c r="J34" s="140"/>
      <c r="K34" s="237"/>
      <c r="L34" s="238" t="n">
        <f aca="false">E12/(AVERAGE('[4]P&amp;L'!P13:T13)/'[4]Curves Assumptions'!O13)</f>
        <v>40855.1084522972</v>
      </c>
      <c r="M34" s="242"/>
    </row>
    <row r="35" customFormat="false" ht="12.75" hidden="false" customHeight="false" outlineLevel="0" collapsed="false">
      <c r="A35" s="185" t="s">
        <v>170</v>
      </c>
      <c r="B35" s="192"/>
      <c r="C35" s="192"/>
      <c r="D35" s="192"/>
      <c r="E35" s="192"/>
      <c r="F35" s="239" t="n">
        <f aca="false">[4]BS!O33</f>
        <v>48.6200808875489</v>
      </c>
      <c r="G35" s="160"/>
      <c r="H35" s="185" t="s">
        <v>171</v>
      </c>
      <c r="I35" s="192"/>
      <c r="J35" s="192"/>
      <c r="K35" s="237"/>
      <c r="L35" s="238" t="n">
        <f aca="false">E10/('[4]P&amp;L'!$P$28/'[4]Curves Assumptions'!P13)</f>
        <v>90719.8960076647</v>
      </c>
      <c r="M35" s="242"/>
    </row>
    <row r="36" customFormat="false" ht="12.75" hidden="false" customHeight="false" outlineLevel="0" collapsed="false">
      <c r="A36" s="185" t="s">
        <v>172</v>
      </c>
      <c r="B36" s="192"/>
      <c r="C36" s="192"/>
      <c r="D36" s="192"/>
      <c r="E36" s="192"/>
      <c r="F36" s="239" t="n">
        <f aca="false">[4]BS!O35</f>
        <v>2.47620001456165</v>
      </c>
      <c r="G36" s="160"/>
      <c r="H36" s="185" t="s">
        <v>173</v>
      </c>
      <c r="I36" s="192"/>
      <c r="J36" s="192"/>
      <c r="K36" s="237"/>
      <c r="L36" s="238" t="n">
        <f aca="false">E$10/('[4]P&amp;L'!Q28/'[4]Curves Assumptions'!Q13)</f>
        <v>114884.089161298</v>
      </c>
      <c r="M36" s="242"/>
    </row>
    <row r="37" customFormat="false" ht="12.75" hidden="false" customHeight="false" outlineLevel="0" collapsed="false">
      <c r="A37" s="185" t="s">
        <v>174</v>
      </c>
      <c r="B37" s="192"/>
      <c r="C37" s="192"/>
      <c r="D37" s="192"/>
      <c r="E37" s="192"/>
      <c r="F37" s="239" t="n">
        <f aca="false">MIN([4]BS!P39:T39)</f>
        <v>1.35013287767434</v>
      </c>
      <c r="G37" s="160"/>
      <c r="H37" s="243" t="str">
        <f aca="false">"IRR ("&amp;[4]DCF_US!M29&amp;" Exit)"</f>
        <v>IRR (5.5 Exit)</v>
      </c>
      <c r="I37" s="197"/>
      <c r="J37" s="197"/>
      <c r="K37" s="244"/>
      <c r="L37" s="245" t="n">
        <f aca="false">[4]DCF_US!M42</f>
        <v>0.132605031492617</v>
      </c>
      <c r="M37" s="242"/>
    </row>
    <row r="38" customFormat="false" ht="12.75" hidden="false" customHeight="false" outlineLevel="0" collapsed="false">
      <c r="A38" s="198" t="s">
        <v>175</v>
      </c>
      <c r="B38" s="197"/>
      <c r="C38" s="197"/>
      <c r="D38" s="197"/>
      <c r="E38" s="197"/>
      <c r="F38" s="246" t="n">
        <f aca="false">[4]BS!P39</f>
        <v>1.35013287767434</v>
      </c>
      <c r="G38" s="160"/>
      <c r="M38" s="242"/>
    </row>
    <row r="39" customFormat="false" ht="12.75" hidden="false" customHeight="false" outlineLevel="0" collapsed="false">
      <c r="A39" s="247"/>
      <c r="B39" s="206"/>
      <c r="C39" s="248"/>
      <c r="D39" s="248"/>
      <c r="E39" s="249"/>
      <c r="L39" s="250"/>
      <c r="M39" s="242"/>
    </row>
    <row r="40" customFormat="false" ht="12.75" hidden="false" customHeight="false" outlineLevel="0" collapsed="false">
      <c r="M40" s="242"/>
    </row>
    <row r="41" customFormat="false" ht="12.75" hidden="false" customHeight="false" outlineLevel="0" collapsed="false">
      <c r="M41" s="140"/>
    </row>
    <row r="42" customFormat="false" ht="12.75" hidden="false" customHeight="false" outlineLevel="0" collapsed="false">
      <c r="M42" s="160"/>
    </row>
    <row r="43" customFormat="false" ht="12.75" hidden="false" customHeight="false" outlineLevel="0" collapsed="false">
      <c r="M43" s="160"/>
    </row>
    <row r="44" customFormat="false" ht="12.75" hidden="false" customHeight="false" outlineLevel="0" collapsed="false">
      <c r="M44" s="160"/>
    </row>
    <row r="45" customFormat="false" ht="12.75" hidden="false" customHeight="false" outlineLevel="0" collapsed="false">
      <c r="M45" s="160"/>
    </row>
    <row r="46" customFormat="false" ht="12.75" hidden="false" customHeight="false" outlineLevel="0" collapsed="false">
      <c r="M46" s="160"/>
    </row>
    <row r="47" customFormat="false" ht="12.75" hidden="false" customHeight="false" outlineLevel="0" collapsed="false">
      <c r="M47" s="160"/>
    </row>
    <row r="48" customFormat="false" ht="12.75" hidden="false" customHeight="false" outlineLevel="0" collapsed="false">
      <c r="M48" s="160"/>
    </row>
    <row r="49" customFormat="false" ht="12.75" hidden="false" customHeight="false" outlineLevel="0" collapsed="false">
      <c r="M49" s="160"/>
    </row>
    <row r="50" customFormat="false" ht="12.75" hidden="false" customHeight="false" outlineLevel="0" collapsed="false">
      <c r="M50" s="160"/>
    </row>
    <row r="51" customFormat="false" ht="12.75" hidden="false" customHeight="false" outlineLevel="0" collapsed="false">
      <c r="A51" s="160"/>
      <c r="B51" s="242"/>
      <c r="C51" s="242"/>
      <c r="D51" s="186"/>
      <c r="E51" s="251"/>
      <c r="F51" s="251"/>
      <c r="G51" s="251"/>
      <c r="H51" s="251"/>
      <c r="I51" s="242"/>
      <c r="J51" s="242"/>
      <c r="K51" s="251"/>
      <c r="L51" s="233"/>
      <c r="M51" s="160"/>
    </row>
    <row r="52" customFormat="false" ht="12.75" hidden="false" customHeight="false" outlineLevel="0" collapsed="false">
      <c r="A52" s="160"/>
      <c r="B52" s="242"/>
      <c r="C52" s="242"/>
      <c r="D52" s="242"/>
      <c r="E52" s="242"/>
      <c r="F52" s="115"/>
      <c r="G52" s="115"/>
      <c r="H52" s="115"/>
      <c r="I52" s="115"/>
      <c r="J52" s="115"/>
      <c r="K52" s="251"/>
      <c r="L52" s="233"/>
      <c r="M52" s="160"/>
    </row>
    <row r="53" customFormat="false" ht="12.75" hidden="false" customHeight="false" outlineLevel="0" collapsed="false">
      <c r="A53" s="160"/>
      <c r="B53" s="242"/>
      <c r="C53" s="242"/>
      <c r="D53" s="251"/>
      <c r="E53" s="251"/>
      <c r="F53" s="252"/>
      <c r="G53" s="252"/>
      <c r="H53" s="252"/>
      <c r="I53" s="252"/>
      <c r="J53" s="252"/>
      <c r="K53" s="251"/>
      <c r="L53" s="233"/>
      <c r="M53" s="160"/>
    </row>
    <row r="54" customFormat="false" ht="12.75" hidden="false" customHeight="false" outlineLevel="0" collapsed="false">
      <c r="A54" s="160"/>
      <c r="B54" s="242"/>
      <c r="C54" s="242"/>
      <c r="D54" s="242"/>
      <c r="E54" s="242"/>
      <c r="F54" s="252"/>
      <c r="G54" s="252"/>
      <c r="H54" s="252"/>
      <c r="I54" s="252"/>
      <c r="J54" s="252"/>
      <c r="K54" s="251"/>
      <c r="L54" s="233"/>
      <c r="M54" s="160"/>
    </row>
    <row r="55" customFormat="false" ht="12.75" hidden="false" customHeight="false" outlineLevel="0" collapsed="false">
      <c r="A55" s="233"/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33"/>
      <c r="M55" s="160"/>
    </row>
    <row r="56" customFormat="false" ht="12.75" hidden="false" customHeight="false" outlineLevel="0" collapsed="false">
      <c r="A56" s="233"/>
      <c r="B56" s="251"/>
      <c r="C56" s="251"/>
      <c r="D56" s="251"/>
      <c r="E56" s="251"/>
      <c r="F56" s="251"/>
      <c r="G56" s="251"/>
      <c r="H56" s="251"/>
      <c r="I56" s="251"/>
      <c r="J56" s="251"/>
      <c r="K56" s="251"/>
      <c r="L56" s="233"/>
      <c r="M56" s="160"/>
    </row>
    <row r="57" customFormat="false" ht="12.75" hidden="false" customHeight="false" outlineLevel="0" collapsed="false">
      <c r="B57" s="83"/>
      <c r="C57" s="83"/>
      <c r="D57" s="83"/>
      <c r="E57" s="83"/>
      <c r="F57" s="83"/>
      <c r="G57" s="83"/>
      <c r="H57" s="83"/>
      <c r="I57" s="83"/>
      <c r="J57" s="83"/>
      <c r="K5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103"/>
  <sheetViews>
    <sheetView showFormulas="false" showGridLines="fals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E68" activeCellId="0" sqref="E68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14.14"/>
    <col collapsed="false" customWidth="true" hidden="false" outlineLevel="0" max="3" min="3" style="0" width="9.56"/>
    <col collapsed="false" customWidth="true" hidden="false" outlineLevel="0" max="4" min="4" style="0" width="12.56"/>
    <col collapsed="false" customWidth="true" hidden="false" outlineLevel="0" max="5" min="5" style="0" width="13.41"/>
    <col collapsed="false" customWidth="true" hidden="false" outlineLevel="0" max="6" min="6" style="0" width="14.14"/>
    <col collapsed="false" customWidth="true" hidden="false" outlineLevel="0" max="7" min="7" style="0" width="11.7"/>
    <col collapsed="false" customWidth="true" hidden="false" outlineLevel="0" max="8" min="8" style="0" width="11.85"/>
    <col collapsed="false" customWidth="true" hidden="false" outlineLevel="0" max="9" min="9" style="0" width="12.56"/>
    <col collapsed="false" customWidth="true" hidden="false" outlineLevel="0" max="11" min="10" style="0" width="11.42"/>
    <col collapsed="false" customWidth="true" hidden="false" outlineLevel="0" max="12" min="12" style="0" width="12.14"/>
    <col collapsed="false" customWidth="true" hidden="false" outlineLevel="0" max="13" min="13" style="0" width="10.99"/>
    <col collapsed="false" customWidth="true" hidden="false" outlineLevel="0" max="14" min="14" style="0" width="11.42"/>
  </cols>
  <sheetData>
    <row r="1" customFormat="false" ht="20.25" hidden="false" customHeight="false" outlineLevel="0" collapsed="false">
      <c r="A1" s="157" t="str">
        <f aca="false">"Project "&amp;Assumptions!D7</f>
        <v>Project Wolverine</v>
      </c>
      <c r="B1" s="253"/>
      <c r="C1" s="253"/>
      <c r="D1" s="254"/>
      <c r="E1" s="255"/>
      <c r="F1" s="255"/>
      <c r="G1" s="255"/>
      <c r="H1" s="255"/>
      <c r="I1" s="255"/>
      <c r="J1" s="255"/>
      <c r="K1" s="255"/>
      <c r="L1" s="255"/>
      <c r="P1" s="255"/>
      <c r="Q1" s="256"/>
      <c r="R1" s="256" t="s">
        <v>176</v>
      </c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  <c r="AP1" s="256"/>
    </row>
    <row r="2" customFormat="false" ht="16.5" hidden="false" customHeight="false" outlineLevel="0" collapsed="false">
      <c r="A2" s="161" t="s">
        <v>177</v>
      </c>
      <c r="B2" s="257"/>
      <c r="C2" s="257"/>
      <c r="D2" s="258"/>
      <c r="E2" s="255"/>
      <c r="F2" s="259"/>
      <c r="G2" s="255"/>
      <c r="H2" s="255"/>
      <c r="I2" s="255"/>
      <c r="J2" s="255"/>
      <c r="K2" s="255"/>
      <c r="L2" s="255"/>
      <c r="P2" s="255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</row>
    <row r="3" customFormat="false" ht="12.75" hidden="false" customHeight="false" outlineLevel="0" collapsed="false">
      <c r="A3" s="260"/>
      <c r="B3" s="176"/>
      <c r="C3" s="176"/>
      <c r="D3" s="261"/>
      <c r="E3" s="261"/>
      <c r="F3" s="176"/>
      <c r="G3" s="176"/>
      <c r="H3" s="176"/>
      <c r="I3" s="176"/>
      <c r="J3" s="140"/>
      <c r="K3" s="140"/>
      <c r="L3" s="140"/>
      <c r="M3" s="140"/>
      <c r="N3" s="140"/>
      <c r="O3" s="140"/>
      <c r="P3" s="262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</row>
    <row r="4" customFormat="false" ht="12.75" hidden="false" customHeight="false" outlineLevel="0" collapsed="false">
      <c r="A4" s="263" t="s">
        <v>178</v>
      </c>
      <c r="B4" s="264"/>
      <c r="C4" s="264"/>
      <c r="D4" s="264"/>
      <c r="E4" s="264"/>
      <c r="F4" s="264"/>
      <c r="G4" s="264"/>
      <c r="H4" s="223"/>
      <c r="I4" s="264"/>
      <c r="J4" s="265"/>
      <c r="K4" s="266"/>
      <c r="L4" s="140"/>
      <c r="M4" s="140"/>
      <c r="N4" s="140"/>
      <c r="O4" s="140"/>
      <c r="P4" s="266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</row>
    <row r="5" customFormat="false" ht="12.75" hidden="false" customHeight="false" outlineLevel="0" collapsed="false">
      <c r="A5" s="269"/>
      <c r="B5" s="205"/>
      <c r="C5" s="205"/>
      <c r="D5" s="205"/>
      <c r="E5" s="270" t="s">
        <v>179</v>
      </c>
      <c r="F5" s="270" t="s">
        <v>180</v>
      </c>
      <c r="G5" s="270" t="s">
        <v>181</v>
      </c>
      <c r="I5" s="270" t="s">
        <v>182</v>
      </c>
      <c r="J5" s="271"/>
      <c r="K5" s="270"/>
      <c r="L5" s="140"/>
      <c r="M5" s="140"/>
      <c r="N5" s="140"/>
      <c r="O5" s="140"/>
      <c r="P5" s="214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</row>
    <row r="6" customFormat="false" ht="12.75" hidden="false" customHeight="false" outlineLevel="0" collapsed="false">
      <c r="A6" s="269"/>
      <c r="B6" s="205"/>
      <c r="C6" s="205"/>
      <c r="D6" s="205"/>
      <c r="E6" s="270" t="s">
        <v>183</v>
      </c>
      <c r="F6" s="270" t="s">
        <v>184</v>
      </c>
      <c r="G6" s="270" t="s">
        <v>185</v>
      </c>
      <c r="H6" s="274" t="s">
        <v>141</v>
      </c>
      <c r="I6" s="270" t="s">
        <v>186</v>
      </c>
      <c r="J6" s="271" t="s">
        <v>187</v>
      </c>
      <c r="K6" s="270"/>
      <c r="L6" s="140"/>
      <c r="M6" s="140"/>
      <c r="N6" s="140"/>
      <c r="O6" s="140"/>
      <c r="P6" s="214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</row>
    <row r="7" customFormat="false" ht="12.75" hidden="false" customHeight="false" outlineLevel="0" collapsed="false">
      <c r="A7" s="275" t="s">
        <v>188</v>
      </c>
      <c r="B7" s="276"/>
      <c r="C7" s="276"/>
      <c r="D7" s="276"/>
      <c r="E7" s="277" t="n">
        <f aca="false">'Fin Stats and Ratios'!E15</f>
        <v>0.5</v>
      </c>
      <c r="F7" s="278" t="n">
        <f aca="false">E7*'Fin Stats and Ratios'!E12</f>
        <v>1452784.850941</v>
      </c>
      <c r="G7" s="277" t="n">
        <f aca="false">'Fin Stats and Ratios'!G15</f>
        <v>0.075</v>
      </c>
      <c r="H7" s="279" t="n">
        <f aca="false">'Fin Stats and Ratios'!F15</f>
        <v>10</v>
      </c>
      <c r="I7" s="141" t="str">
        <f aca="false">IF('Fin Stats and Ratios'!I15=1,"No Amort",IF('Fin Stats and Ratios'!I15=2,"Partial Amort",IF('Fin Stats and Ratios'!I15=3,"Mortgage","N/A")))</f>
        <v>Partial Amort</v>
      </c>
      <c r="J7" s="280" t="n">
        <f aca="false">'Fin Stats and Ratios'!J15</f>
        <v>1</v>
      </c>
      <c r="K7" s="140"/>
      <c r="L7" s="140"/>
      <c r="M7" s="140"/>
      <c r="N7" s="140"/>
      <c r="O7" s="140"/>
      <c r="P7" s="281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</row>
    <row r="8" customFormat="false" ht="12.75" hidden="false" customHeight="false" outlineLevel="0" collapsed="false">
      <c r="A8" s="275" t="s">
        <v>146</v>
      </c>
      <c r="B8" s="192"/>
      <c r="C8" s="192"/>
      <c r="D8" s="192"/>
      <c r="E8" s="277" t="n">
        <f aca="false">'Fin Stats and Ratios'!E16</f>
        <v>0</v>
      </c>
      <c r="F8" s="278" t="n">
        <f aca="false">E8*'Fin Stats and Ratios'!E11</f>
        <v>0</v>
      </c>
      <c r="G8" s="277" t="n">
        <f aca="false">'Fin Stats and Ratios'!G16</f>
        <v>0.1032</v>
      </c>
      <c r="H8" s="279" t="n">
        <f aca="false">'Fin Stats and Ratios'!F16</f>
        <v>8</v>
      </c>
      <c r="I8" s="141" t="str">
        <f aca="false">IF('Fin Stats and Ratios'!I16=1,"No Amort",IF('Fin Stats and Ratios'!I16=2,"Partial Amort",IF('Fin Stats and Ratios'!I16=3,"Mortgage","N/A")))</f>
        <v>Partial Amort</v>
      </c>
      <c r="J8" s="280" t="n">
        <f aca="false">IF(I8="Mortgage","100%",'Fin Stats and Ratios'!J16)</f>
        <v>0.2</v>
      </c>
      <c r="K8" s="140"/>
      <c r="L8" s="140"/>
      <c r="M8" s="140"/>
      <c r="N8" s="140"/>
      <c r="O8" s="140"/>
      <c r="P8" s="281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</row>
    <row r="9" customFormat="false" ht="12.75" hidden="false" customHeight="false" outlineLevel="0" collapsed="false">
      <c r="A9" s="275" t="s">
        <v>189</v>
      </c>
      <c r="B9" s="192"/>
      <c r="C9" s="192"/>
      <c r="D9" s="192"/>
      <c r="E9" s="277" t="n">
        <f aca="false">'Fin Stats and Ratios'!E17</f>
        <v>0</v>
      </c>
      <c r="F9" s="278" t="n">
        <f aca="false">Debt!E9*'Fin Stats and Ratios'!E11</f>
        <v>0</v>
      </c>
      <c r="G9" s="277" t="n">
        <f aca="false">'Fin Stats and Ratios'!G17</f>
        <v>0.11</v>
      </c>
      <c r="H9" s="279" t="n">
        <f aca="false">'Fin Stats and Ratios'!F17</f>
        <v>7</v>
      </c>
      <c r="I9" s="141" t="str">
        <f aca="false">IF('Fin Stats and Ratios'!I17=1,"No Amort",IF('Fin Stats and Ratios'!I17=2,"Partial Amort",IF('Fin Stats and Ratios'!I17=3,"Mortgage","N/A")))</f>
        <v>No Amort</v>
      </c>
      <c r="J9" s="280" t="n">
        <f aca="false">'Fin Stats and Ratios'!J17</f>
        <v>0</v>
      </c>
      <c r="K9" s="140"/>
      <c r="L9" s="140"/>
      <c r="M9" s="140"/>
      <c r="N9" s="140"/>
      <c r="O9" s="140"/>
      <c r="P9" s="281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</row>
    <row r="10" customFormat="false" ht="12.75" hidden="false" customHeight="false" outlineLevel="0" collapsed="false">
      <c r="A10" s="285" t="s">
        <v>190</v>
      </c>
      <c r="B10" s="286"/>
      <c r="C10" s="286"/>
      <c r="D10" s="286"/>
      <c r="E10" s="287" t="n">
        <v>0</v>
      </c>
      <c r="F10" s="176"/>
      <c r="G10" s="287" t="n">
        <f aca="false">'Fin Stats and Ratios'!G18</f>
        <v>0.095</v>
      </c>
      <c r="H10" s="288" t="str">
        <f aca="false">'Fin Stats and Ratios'!F18</f>
        <v>N/A</v>
      </c>
      <c r="I10" s="289" t="str">
        <f aca="false">IF('Fin Stats and Ratios'!I18=1,"No Amort",IF('Fin Stats and Ratios'!I18=2,"Partial Amort",IF('Fin Stats and Ratios'!I18=3,"Mortgage","N/A")))</f>
        <v>N/A</v>
      </c>
      <c r="J10" s="290" t="str">
        <f aca="false">'Fin Stats and Ratios'!J18</f>
        <v>N/A</v>
      </c>
      <c r="K10" s="140"/>
      <c r="L10" s="140"/>
      <c r="M10" s="140"/>
      <c r="N10" s="140"/>
      <c r="O10" s="140"/>
      <c r="P10" s="291"/>
      <c r="Q10" s="292"/>
      <c r="R10" s="292"/>
      <c r="S10" s="292"/>
      <c r="T10" s="292"/>
      <c r="U10" s="292"/>
      <c r="V10" s="292"/>
      <c r="W10" s="292"/>
      <c r="X10" s="292"/>
      <c r="Y10" s="292"/>
      <c r="Z10" s="292"/>
      <c r="AA10" s="292"/>
      <c r="AB10" s="292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</row>
    <row r="11" customFormat="false" ht="12.75" hidden="false" customHeight="false" outlineLevel="0" collapsed="false">
      <c r="A11" s="294" t="s">
        <v>191</v>
      </c>
      <c r="B11" s="295"/>
      <c r="C11" s="295"/>
      <c r="D11" s="295"/>
      <c r="E11" s="296" t="n">
        <f aca="false">SUM(E7:E10)</f>
        <v>0.5</v>
      </c>
      <c r="F11" s="297" t="n">
        <f aca="false">SUM(F7:F10)</f>
        <v>1452784.850941</v>
      </c>
      <c r="G11" s="298"/>
      <c r="H11" s="299"/>
      <c r="I11" s="300"/>
      <c r="J11" s="301"/>
      <c r="K11" s="302"/>
      <c r="L11" s="140"/>
      <c r="M11" s="140"/>
      <c r="N11" s="140"/>
      <c r="O11" s="140"/>
      <c r="P11" s="30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</row>
    <row r="12" customFormat="false" ht="12.75" hidden="false" customHeight="false" outlineLevel="0" collapsed="false">
      <c r="A12" s="302"/>
      <c r="B12" s="302"/>
      <c r="C12" s="302"/>
      <c r="D12" s="302"/>
      <c r="E12" s="303"/>
      <c r="F12" s="304"/>
      <c r="G12" s="305"/>
      <c r="H12" s="302"/>
      <c r="I12" s="302"/>
      <c r="J12" s="140"/>
      <c r="K12" s="302"/>
      <c r="L12" s="140"/>
      <c r="M12" s="140"/>
      <c r="N12" s="140"/>
      <c r="O12" s="140"/>
      <c r="P12" s="30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  <c r="AM12" s="293"/>
      <c r="AN12" s="293"/>
      <c r="AO12" s="293"/>
      <c r="AP12" s="293"/>
    </row>
    <row r="13" customFormat="false" ht="12.75" hidden="false" customHeight="false" outlineLevel="0" collapsed="false">
      <c r="A13" s="302"/>
      <c r="B13" s="302"/>
      <c r="C13" s="302"/>
      <c r="D13" s="302"/>
      <c r="E13" s="306" t="s">
        <v>192</v>
      </c>
      <c r="F13" s="307"/>
      <c r="G13" s="295"/>
      <c r="H13" s="295"/>
      <c r="I13" s="176"/>
      <c r="J13" s="295"/>
      <c r="K13" s="176"/>
      <c r="L13" s="176"/>
      <c r="M13" s="176"/>
      <c r="N13" s="176"/>
      <c r="O13" s="30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</row>
    <row r="14" customFormat="false" ht="12.75" hidden="false" customHeight="false" outlineLevel="0" collapsed="false">
      <c r="A14" s="302"/>
      <c r="B14" s="302"/>
      <c r="C14" s="302"/>
      <c r="D14" s="302"/>
      <c r="E14" s="308" t="n">
        <v>2001</v>
      </c>
      <c r="F14" s="309" t="n">
        <v>2002</v>
      </c>
      <c r="G14" s="309" t="n">
        <v>2003</v>
      </c>
      <c r="H14" s="309" t="n">
        <v>2004</v>
      </c>
      <c r="I14" s="309" t="n">
        <v>2005</v>
      </c>
      <c r="J14" s="309" t="n">
        <v>2006</v>
      </c>
      <c r="K14" s="310" t="n">
        <v>2007</v>
      </c>
      <c r="L14" s="310" t="n">
        <v>2008</v>
      </c>
      <c r="M14" s="310" t="n">
        <v>2009</v>
      </c>
      <c r="N14" s="310" t="n">
        <v>2010</v>
      </c>
      <c r="O14" s="311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</row>
    <row r="15" customFormat="false" ht="12.75" hidden="false" customHeight="false" outlineLevel="0" collapsed="false">
      <c r="A15" s="302"/>
      <c r="B15" s="302"/>
      <c r="C15" s="302"/>
      <c r="D15" s="312" t="s">
        <v>193</v>
      </c>
      <c r="E15" s="308" t="n">
        <v>1</v>
      </c>
      <c r="F15" s="309" t="n">
        <v>2</v>
      </c>
      <c r="G15" s="309" t="n">
        <v>3</v>
      </c>
      <c r="H15" s="309" t="n">
        <v>4</v>
      </c>
      <c r="I15" s="309" t="n">
        <v>5</v>
      </c>
      <c r="J15" s="309" t="n">
        <v>6</v>
      </c>
      <c r="K15" s="309" t="n">
        <v>7</v>
      </c>
      <c r="L15" s="309" t="n">
        <v>8</v>
      </c>
      <c r="M15" s="309" t="n">
        <v>9</v>
      </c>
      <c r="N15" s="309" t="n">
        <v>10</v>
      </c>
      <c r="O15" s="311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</row>
    <row r="16" customFormat="false" ht="12.75" hidden="true" customHeight="false" outlineLevel="1" collapsed="false">
      <c r="A16" s="313" t="str">
        <f aca="false">+A10</f>
        <v>Revolver/New Financing (US$)</v>
      </c>
      <c r="B16" s="314"/>
      <c r="C16" s="314"/>
      <c r="D16" s="314"/>
      <c r="E16" s="315"/>
      <c r="F16" s="315"/>
      <c r="G16" s="315"/>
      <c r="H16" s="315"/>
      <c r="I16" s="315"/>
      <c r="J16" s="315"/>
      <c r="K16" s="131"/>
      <c r="L16" s="131"/>
      <c r="M16" s="131"/>
      <c r="N16" s="131"/>
      <c r="O16" s="316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</row>
    <row r="17" customFormat="false" ht="12.75" hidden="true" customHeight="false" outlineLevel="1" collapsed="false">
      <c r="A17" s="317" t="s">
        <v>194</v>
      </c>
      <c r="B17" s="318"/>
      <c r="C17" s="318"/>
      <c r="D17" s="318"/>
      <c r="E17" s="319"/>
      <c r="F17" s="320" t="e">
        <f aca="false">#REF!</f>
        <v>#REF!</v>
      </c>
      <c r="G17" s="320" t="e">
        <f aca="false">F20</f>
        <v>#REF!</v>
      </c>
      <c r="H17" s="320" t="e">
        <f aca="false">G20</f>
        <v>#REF!</v>
      </c>
      <c r="I17" s="320" t="e">
        <f aca="false">H20</f>
        <v>#REF!</v>
      </c>
      <c r="J17" s="320" t="e">
        <f aca="false">I20</f>
        <v>#REF!</v>
      </c>
      <c r="K17" s="160"/>
      <c r="L17" s="160"/>
      <c r="M17" s="160"/>
      <c r="N17" s="160"/>
      <c r="O17" s="320"/>
      <c r="Q17" s="321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</row>
    <row r="18" customFormat="false" ht="12.75" hidden="true" customHeight="false" outlineLevel="1" collapsed="false">
      <c r="A18" s="322" t="s">
        <v>195</v>
      </c>
      <c r="B18" s="318"/>
      <c r="C18" s="318"/>
      <c r="D18" s="318"/>
      <c r="E18" s="319"/>
      <c r="F18" s="320" t="e">
        <f aca="false">IF(((([4]CFS!O23+[4]BS!N7)/'[4]Curves Assumptions'!O13)-#REF!-#REF!-#REF!)&lt;0,-((([4]CFS!O23+[4]BS!N7)/'[4]Curves Assumptions'!O13)-#REF!-#REF!-#REF!),0)</f>
        <v>#REF!</v>
      </c>
      <c r="G18" s="320" t="e">
        <f aca="false">IF(((([4]CFS!P23+[4]BS!O7)/'[4]Curves Assumptions'!P13)-#REF!-#REF!-#REF!)&lt;0,-((([4]CFS!P23+[4]BS!O7)/'[4]Curves Assumptions'!P13)-#REF!-#REF!-#REF!),0)</f>
        <v>#REF!</v>
      </c>
      <c r="H18" s="320" t="e">
        <f aca="false">IF(((([4]CFS!Q23+[4]BS!P7)/'[4]Curves Assumptions'!Q13)-#REF!-#REF!-#REF!)&lt;0,-((([4]CFS!Q23+[4]BS!P7)/'[4]Curves Assumptions'!Q13)-#REF!-#REF!-#REF!),0)</f>
        <v>#REF!</v>
      </c>
      <c r="I18" s="320" t="e">
        <f aca="false">IF(((([4]CFS!R23+[4]BS!Q7)/'[4]Curves Assumptions'!R13)-#REF!-#REF!-#REF!)&lt;0,-((([4]CFS!R23+[4]BS!Q7)/'[4]Curves Assumptions'!R13)-#REF!-#REF!-#REF!),0)</f>
        <v>#REF!</v>
      </c>
      <c r="J18" s="320" t="e">
        <f aca="false">IF(((([4]CFS!S23+[4]BS!R7)/'[4]Curves Assumptions'!S13)-#REF!-#REF!-#REF!)&lt;0,-((([4]CFS!S23+[4]BS!R7)/'[4]Curves Assumptions'!S13)-#REF!-#REF!-#REF!),0)</f>
        <v>#REF!</v>
      </c>
      <c r="K18" s="160"/>
      <c r="L18" s="160"/>
      <c r="M18" s="160"/>
      <c r="N18" s="160"/>
      <c r="O18" s="320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</row>
    <row r="19" customFormat="false" ht="12.75" hidden="true" customHeight="false" outlineLevel="1" collapsed="false">
      <c r="A19" s="322" t="s">
        <v>196</v>
      </c>
      <c r="B19" s="302"/>
      <c r="C19" s="302"/>
      <c r="D19" s="302"/>
      <c r="E19" s="323"/>
      <c r="F19" s="324" t="e">
        <f aca="false">-IF(F17&gt;0,IF((([4]CFS!O23/'[4]Curves Assumptions'!O13)+F25+F32+F39+([4]BS!N7/'[4]Curves Assumptions'!N13))&lt;0,0,IF((([4]CFS!O23/'[4]Curves Assumptions'!O13)+F25+F32+F39+([4]BS!N7/'[4]Curves Assumptions'!N13))&gt;F17,F17,(([4]CFS!O23/'[4]Curves Assumptions'!O13)+F25+F32+F39+([4]BS!N7/'[4]Curves Assumptions'!N13)))),0)</f>
        <v>#REF!</v>
      </c>
      <c r="G19" s="324" t="e">
        <f aca="false">-IF(G17&gt;0,IF((([4]CFS!P23/'[4]Curves Assumptions'!P13)+G25+G32+G39+([4]BS!O7/'[4]Curves Assumptions'!O13))&lt;0,0,IF((([4]CFS!P23/'[4]Curves Assumptions'!P13)+G25+G32+G39+([4]BS!O7/'[4]Curves Assumptions'!O13))&gt;G17,G17,(([4]CFS!P23/'[4]Curves Assumptions'!P13)+G25+G32+G39+([4]BS!O7/'[4]Curves Assumptions'!O13)))),0)</f>
        <v>#REF!</v>
      </c>
      <c r="H19" s="324" t="e">
        <f aca="false">-IF(H17&gt;0,IF((([4]CFS!Q23/'[4]Curves Assumptions'!Q13)+H25+H32+H39+([4]BS!P7/'[4]Curves Assumptions'!P13))&lt;0,0,IF((([4]CFS!Q23/'[4]Curves Assumptions'!Q13)+H25+H32+H39+([4]BS!P7/'[4]Curves Assumptions'!P13))&gt;H17,H17,(([4]CFS!Q23/'[4]Curves Assumptions'!Q13)+H25+H32+H39+([4]BS!P7/'[4]Curves Assumptions'!P13)))),0)</f>
        <v>#REF!</v>
      </c>
      <c r="I19" s="324" t="e">
        <f aca="false">-IF(I17&gt;0,IF((([4]CFS!R23/'[4]Curves Assumptions'!R13)+I25+I32+I39+([4]BS!Q7/'[4]Curves Assumptions'!Q13))&lt;0,0,IF((([4]CFS!R23/'[4]Curves Assumptions'!R13)+I25+I32+I39+([4]BS!Q7/'[4]Curves Assumptions'!Q13))&gt;I17,I17,(([4]CFS!R23/'[4]Curves Assumptions'!R13)+I25+I32+I39+([4]BS!Q7/'[4]Curves Assumptions'!Q13)))),0)</f>
        <v>#REF!</v>
      </c>
      <c r="J19" s="324" t="e">
        <f aca="false">-IF(J17&gt;0,IF((([4]CFS!S23/'[4]Curves Assumptions'!S13)+J25+J32+J39+([4]BS!R7/'[4]Curves Assumptions'!R13))&lt;0,0,IF((([4]CFS!S23/'[4]Curves Assumptions'!S13)+J25+J32+J39+([4]BS!R7/'[4]Curves Assumptions'!R13))&gt;J17,J17,(([4]CFS!S23/'[4]Curves Assumptions'!S13)+J25+J32+J39+([4]BS!R7/'[4]Curves Assumptions'!R13)))),0)</f>
        <v>#REF!</v>
      </c>
      <c r="K19" s="160"/>
      <c r="L19" s="160"/>
      <c r="M19" s="160"/>
      <c r="N19" s="160"/>
      <c r="O19" s="324"/>
      <c r="Q19" s="325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</row>
    <row r="20" customFormat="false" ht="12.75" hidden="true" customHeight="false" outlineLevel="1" collapsed="false">
      <c r="A20" s="302" t="s">
        <v>197</v>
      </c>
      <c r="B20" s="302"/>
      <c r="C20" s="302"/>
      <c r="D20" s="302"/>
      <c r="E20" s="326" t="n">
        <f aca="false">+E10</f>
        <v>0</v>
      </c>
      <c r="F20" s="327" t="e">
        <f aca="false">SUM(F17:F19)</f>
        <v>#REF!</v>
      </c>
      <c r="G20" s="327" t="e">
        <f aca="false">SUM(G17:G19)</f>
        <v>#REF!</v>
      </c>
      <c r="H20" s="327" t="e">
        <f aca="false">SUM(H17:H19)</f>
        <v>#REF!</v>
      </c>
      <c r="I20" s="327" t="e">
        <f aca="false">SUM(I17:I19)</f>
        <v>#REF!</v>
      </c>
      <c r="J20" s="327" t="e">
        <f aca="false">SUM(J17:J19)</f>
        <v>#REF!</v>
      </c>
      <c r="K20" s="160"/>
      <c r="L20" s="160"/>
      <c r="M20" s="160"/>
      <c r="N20" s="160"/>
      <c r="O20" s="328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</row>
    <row r="21" customFormat="false" ht="12.75" hidden="true" customHeight="false" outlineLevel="1" collapsed="false">
      <c r="A21" s="329" t="s">
        <v>198</v>
      </c>
      <c r="B21" s="329"/>
      <c r="C21" s="329"/>
      <c r="D21" s="329"/>
      <c r="E21" s="330"/>
      <c r="F21" s="331" t="e">
        <f aca="false">+#REF!</f>
        <v>#REF!</v>
      </c>
      <c r="G21" s="331" t="e">
        <f aca="false">+#REF!</f>
        <v>#REF!</v>
      </c>
      <c r="H21" s="331" t="e">
        <f aca="false">+#REF!</f>
        <v>#REF!</v>
      </c>
      <c r="I21" s="331" t="e">
        <f aca="false">+#REF!</f>
        <v>#REF!</v>
      </c>
      <c r="J21" s="331" t="e">
        <f aca="false">+#REF!</f>
        <v>#REF!</v>
      </c>
      <c r="K21" s="160"/>
      <c r="L21" s="160"/>
      <c r="M21" s="160"/>
      <c r="N21" s="160"/>
      <c r="O21" s="33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</row>
    <row r="22" customFormat="false" ht="12.75" hidden="false" customHeight="false" outlineLevel="0" collapsed="false">
      <c r="A22" s="333"/>
      <c r="B22" s="333"/>
      <c r="C22" s="333"/>
      <c r="D22" s="333"/>
      <c r="E22" s="334"/>
      <c r="F22" s="332"/>
      <c r="G22" s="332"/>
      <c r="H22" s="332"/>
      <c r="I22" s="332"/>
      <c r="J22" s="332"/>
      <c r="K22" s="160"/>
      <c r="L22" s="160"/>
      <c r="M22" s="160"/>
      <c r="N22" s="160"/>
      <c r="O22" s="33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</row>
    <row r="23" customFormat="false" ht="12.75" hidden="false" customHeight="false" outlineLevel="0" collapsed="false">
      <c r="A23" s="313" t="str">
        <f aca="false">+A7</f>
        <v>Senior Tranche A (US$)</v>
      </c>
      <c r="B23" s="314"/>
      <c r="C23" s="314"/>
      <c r="D23" s="314"/>
      <c r="E23" s="315"/>
      <c r="F23" s="315"/>
      <c r="G23" s="315"/>
      <c r="H23" s="315"/>
      <c r="I23" s="315"/>
      <c r="J23" s="315"/>
      <c r="K23" s="335"/>
      <c r="L23" s="335"/>
      <c r="M23" s="335"/>
      <c r="N23" s="335"/>
      <c r="O23" s="311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</row>
    <row r="24" customFormat="false" ht="12.75" hidden="false" customHeight="false" outlineLevel="0" collapsed="false">
      <c r="A24" s="317" t="s">
        <v>194</v>
      </c>
      <c r="B24" s="318"/>
      <c r="C24" s="318"/>
      <c r="D24" s="318"/>
      <c r="E24" s="336" t="n">
        <f aca="false">F7</f>
        <v>1452784.850941</v>
      </c>
      <c r="F24" s="336" t="n">
        <f aca="false">E27</f>
        <v>1307506.3658469</v>
      </c>
      <c r="G24" s="336" t="n">
        <f aca="false">F27</f>
        <v>1162227.8807528</v>
      </c>
      <c r="H24" s="336" t="n">
        <f aca="false">G27</f>
        <v>1016949.3956587</v>
      </c>
      <c r="I24" s="336" t="n">
        <f aca="false">H27</f>
        <v>871670.910564599</v>
      </c>
      <c r="J24" s="336" t="n">
        <f aca="false">I27</f>
        <v>726392.4254705</v>
      </c>
      <c r="K24" s="336" t="n">
        <f aca="false">J27</f>
        <v>581113.9403764</v>
      </c>
      <c r="L24" s="336" t="n">
        <f aca="false">K27</f>
        <v>435835.4552823</v>
      </c>
      <c r="M24" s="336" t="n">
        <f aca="false">L27</f>
        <v>290556.9701882</v>
      </c>
      <c r="N24" s="336" t="n">
        <f aca="false">M27</f>
        <v>145278.4850941</v>
      </c>
      <c r="O24" s="317"/>
      <c r="Q24" s="292"/>
      <c r="R24" s="292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337"/>
      <c r="AD24" s="337"/>
      <c r="AE24" s="337"/>
      <c r="AF24" s="337"/>
      <c r="AG24" s="337"/>
      <c r="AH24" s="337"/>
      <c r="AI24" s="337"/>
      <c r="AJ24" s="337"/>
      <c r="AK24" s="293"/>
      <c r="AL24" s="293"/>
      <c r="AM24" s="293"/>
      <c r="AN24" s="293"/>
      <c r="AO24" s="293"/>
      <c r="AP24" s="293"/>
    </row>
    <row r="25" customFormat="false" ht="12.75" hidden="false" customHeight="false" outlineLevel="0" collapsed="false">
      <c r="A25" s="322" t="s">
        <v>199</v>
      </c>
      <c r="B25" s="322"/>
      <c r="C25" s="322"/>
      <c r="D25" s="322"/>
      <c r="E25" s="336" t="n">
        <f aca="false">IF('Fin Stats and Ratios'!$I$15=1,Debt!E59,IF('Fin Stats and Ratios'!$I$15=2,E68,IF('Fin Stats and Ratios'!$I$15=3,Debt!E84-Debt!E85,"Enter Type of Amort")))</f>
        <v>145278.4850941</v>
      </c>
      <c r="F25" s="336" t="n">
        <f aca="false">IF('Fin Stats and Ratios'!$I$15=1,Debt!F59,IF('Fin Stats and Ratios'!$I$15=2,F68,IF('Fin Stats and Ratios'!$I$15=3,Debt!F84-Debt!F85,"Enter Type of Amort")))</f>
        <v>145278.4850941</v>
      </c>
      <c r="G25" s="336" t="n">
        <f aca="false">IF('Fin Stats and Ratios'!$I$15=1,Debt!G59,IF('Fin Stats and Ratios'!$I$15=2,G68,IF('Fin Stats and Ratios'!$I$15=3,Debt!G84-Debt!G85,"Enter Type of Amort")))</f>
        <v>145278.4850941</v>
      </c>
      <c r="H25" s="336" t="n">
        <f aca="false">IF('Fin Stats and Ratios'!$I$15=1,Debt!H59,IF('Fin Stats and Ratios'!$I$15=2,H68,IF('Fin Stats and Ratios'!$I$15=3,Debt!H84-Debt!H85,"Enter Type of Amort")))</f>
        <v>145278.4850941</v>
      </c>
      <c r="I25" s="336" t="n">
        <f aca="false">IF('Fin Stats and Ratios'!$I$15=1,Debt!I59,IF('Fin Stats and Ratios'!$I$15=2,I68,IF('Fin Stats and Ratios'!$I$15=3,Debt!I84-Debt!I85,"Enter Type of Amort")))</f>
        <v>145278.4850941</v>
      </c>
      <c r="J25" s="336" t="n">
        <f aca="false">IF('Fin Stats and Ratios'!$I$15=1,Debt!J59,IF('Fin Stats and Ratios'!$I$15=2,J68,IF('Fin Stats and Ratios'!$I$15=3,Debt!J84-Debt!J85,"Enter Type of Amort")))</f>
        <v>145278.4850941</v>
      </c>
      <c r="K25" s="336" t="n">
        <f aca="false">IF('Fin Stats and Ratios'!$I$15=1,Debt!K59,IF('Fin Stats and Ratios'!$I$15=2,K68,IF('Fin Stats and Ratios'!$I$15=3,Debt!K84-Debt!K85,"Enter Type of Amort")))</f>
        <v>145278.4850941</v>
      </c>
      <c r="L25" s="336" t="n">
        <f aca="false">IF('Fin Stats and Ratios'!$I$15=1,Debt!L59,IF('Fin Stats and Ratios'!$I$15=2,L68,IF('Fin Stats and Ratios'!$I$15=3,Debt!L84-Debt!L85,"Enter Type of Amort")))</f>
        <v>145278.4850941</v>
      </c>
      <c r="M25" s="336" t="n">
        <f aca="false">IF('Fin Stats and Ratios'!$I$15=1,Debt!M59,IF('Fin Stats and Ratios'!$I$15=2,M68,IF('Fin Stats and Ratios'!$I$15=3,Debt!M84-Debt!M85,"Enter Type of Amort")))</f>
        <v>145278.4850941</v>
      </c>
      <c r="N25" s="336" t="n">
        <f aca="false">IF('Fin Stats and Ratios'!$I$15=1,Debt!N59,IF('Fin Stats and Ratios'!$I$15=2,N68,IF('Fin Stats and Ratios'!$I$15=3,Debt!N84-Debt!N85,"Enter Type of Amort")))</f>
        <v>145278.4850941</v>
      </c>
      <c r="O25" s="286"/>
      <c r="Q25" s="292"/>
      <c r="R25" s="292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337"/>
      <c r="AD25" s="337"/>
      <c r="AE25" s="293"/>
      <c r="AF25" s="337"/>
      <c r="AG25" s="337"/>
      <c r="AH25" s="337"/>
      <c r="AI25" s="337"/>
      <c r="AJ25" s="337"/>
      <c r="AK25" s="293"/>
      <c r="AL25" s="293"/>
      <c r="AM25" s="293"/>
      <c r="AN25" s="293"/>
      <c r="AO25" s="293"/>
      <c r="AP25" s="293"/>
    </row>
    <row r="26" customFormat="false" ht="12.75" hidden="false" customHeight="false" outlineLevel="0" collapsed="false">
      <c r="A26" s="322" t="s">
        <v>200</v>
      </c>
      <c r="B26" s="322"/>
      <c r="C26" s="322"/>
      <c r="D26" s="322"/>
      <c r="E26" s="336" t="n">
        <v>0</v>
      </c>
      <c r="F26" s="336" t="n">
        <v>0</v>
      </c>
      <c r="G26" s="336" t="n">
        <v>0</v>
      </c>
      <c r="H26" s="336" t="n">
        <v>0</v>
      </c>
      <c r="I26" s="336" t="n">
        <v>0</v>
      </c>
      <c r="J26" s="336" t="n">
        <v>0</v>
      </c>
      <c r="K26" s="336" t="n">
        <v>0</v>
      </c>
      <c r="L26" s="336" t="n">
        <v>0</v>
      </c>
      <c r="M26" s="336" t="n">
        <v>0</v>
      </c>
      <c r="N26" s="336" t="n">
        <v>0</v>
      </c>
      <c r="O26" s="286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</row>
    <row r="27" customFormat="false" ht="12.75" hidden="false" customHeight="false" outlineLevel="0" collapsed="false">
      <c r="A27" s="300" t="s">
        <v>197</v>
      </c>
      <c r="B27" s="300"/>
      <c r="C27" s="300"/>
      <c r="D27" s="300"/>
      <c r="E27" s="338" t="n">
        <f aca="false">E24-E25-E26</f>
        <v>1307506.3658469</v>
      </c>
      <c r="F27" s="338" t="n">
        <f aca="false">F24-F25-F26</f>
        <v>1162227.8807528</v>
      </c>
      <c r="G27" s="338" t="n">
        <f aca="false">G24-G25-G26</f>
        <v>1016949.3956587</v>
      </c>
      <c r="H27" s="338" t="n">
        <f aca="false">H24-H25-H26</f>
        <v>871670.910564599</v>
      </c>
      <c r="I27" s="338" t="n">
        <f aca="false">I24-I25-I26</f>
        <v>726392.4254705</v>
      </c>
      <c r="J27" s="338" t="n">
        <f aca="false">J24-J25-J26</f>
        <v>581113.9403764</v>
      </c>
      <c r="K27" s="338" t="n">
        <f aca="false">K24-K25-K26</f>
        <v>435835.4552823</v>
      </c>
      <c r="L27" s="338" t="n">
        <f aca="false">L24-L25-L26</f>
        <v>290556.9701882</v>
      </c>
      <c r="M27" s="338" t="n">
        <f aca="false">M24-M25-M26</f>
        <v>145278.4850941</v>
      </c>
      <c r="N27" s="338" t="n">
        <f aca="false">N24-N25-N26</f>
        <v>0</v>
      </c>
      <c r="O27" s="31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</row>
    <row r="28" customFormat="false" ht="13.5" hidden="false" customHeight="false" outlineLevel="0" collapsed="false">
      <c r="A28" s="339" t="s">
        <v>198</v>
      </c>
      <c r="B28" s="339"/>
      <c r="C28" s="339"/>
      <c r="D28" s="339"/>
      <c r="E28" s="340" t="n">
        <f aca="false">E24*$G$7</f>
        <v>108958.863820575</v>
      </c>
      <c r="F28" s="340" t="n">
        <f aca="false">F24*$G$7</f>
        <v>98062.9774385174</v>
      </c>
      <c r="G28" s="340" t="n">
        <f aca="false">G24*$G$7</f>
        <v>87167.0910564599</v>
      </c>
      <c r="H28" s="340" t="n">
        <f aca="false">H24*$G$7</f>
        <v>76271.2046744024</v>
      </c>
      <c r="I28" s="340" t="n">
        <f aca="false">I24*$G$7</f>
        <v>65375.318292345</v>
      </c>
      <c r="J28" s="340" t="n">
        <f aca="false">J24*$G$7</f>
        <v>54479.4319102875</v>
      </c>
      <c r="K28" s="340" t="n">
        <f aca="false">K24*$G$7</f>
        <v>43583.54552823</v>
      </c>
      <c r="L28" s="340" t="n">
        <f aca="false">L24*$G$7</f>
        <v>32687.6591461725</v>
      </c>
      <c r="M28" s="340" t="n">
        <f aca="false">M24*$G$7</f>
        <v>21791.772764115</v>
      </c>
      <c r="N28" s="340" t="n">
        <f aca="false">N24*$G$7</f>
        <v>10895.8863820575</v>
      </c>
      <c r="O28" s="341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3"/>
      <c r="AD28" s="342"/>
      <c r="AE28" s="342"/>
      <c r="AF28" s="342"/>
      <c r="AG28" s="342"/>
      <c r="AH28" s="342"/>
      <c r="AI28" s="342"/>
      <c r="AJ28" s="342"/>
      <c r="AK28" s="342"/>
      <c r="AL28" s="293"/>
      <c r="AM28" s="293"/>
      <c r="AN28" s="293"/>
      <c r="AO28" s="293"/>
      <c r="AP28" s="293"/>
    </row>
    <row r="29" customFormat="false" ht="13.5" hidden="false" customHeight="false" outlineLevel="0" collapsed="false">
      <c r="A29" s="333"/>
      <c r="B29" s="333"/>
      <c r="C29" s="333"/>
      <c r="D29" s="333"/>
      <c r="E29" s="334"/>
      <c r="F29" s="341"/>
      <c r="G29" s="341"/>
      <c r="H29" s="341"/>
      <c r="I29" s="341"/>
      <c r="J29" s="341"/>
      <c r="K29" s="160"/>
      <c r="L29" s="160"/>
      <c r="M29" s="160"/>
      <c r="N29" s="160"/>
      <c r="O29" s="341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3"/>
      <c r="AD29" s="342"/>
      <c r="AE29" s="342"/>
      <c r="AF29" s="342"/>
      <c r="AG29" s="342"/>
      <c r="AH29" s="342"/>
      <c r="AI29" s="342"/>
      <c r="AJ29" s="342"/>
      <c r="AK29" s="342"/>
      <c r="AL29" s="293"/>
      <c r="AM29" s="293"/>
      <c r="AN29" s="293"/>
      <c r="AO29" s="293"/>
      <c r="AP29" s="293"/>
    </row>
    <row r="30" customFormat="false" ht="12.75" hidden="false" customHeight="false" outlineLevel="0" collapsed="false">
      <c r="A30" s="313" t="str">
        <f aca="false">+A8</f>
        <v>Senior Tranche B (US$)</v>
      </c>
      <c r="B30" s="314"/>
      <c r="C30" s="314"/>
      <c r="D30" s="314"/>
      <c r="E30" s="315"/>
      <c r="F30" s="315"/>
      <c r="G30" s="315"/>
      <c r="H30" s="315"/>
      <c r="I30" s="315"/>
      <c r="J30" s="315"/>
      <c r="K30" s="335"/>
      <c r="L30" s="335"/>
      <c r="M30" s="335"/>
      <c r="N30" s="335"/>
      <c r="O30" s="311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3"/>
      <c r="AD30" s="342"/>
      <c r="AE30" s="342"/>
      <c r="AF30" s="342"/>
      <c r="AG30" s="342"/>
      <c r="AH30" s="342"/>
      <c r="AI30" s="342"/>
      <c r="AJ30" s="342"/>
      <c r="AK30" s="342"/>
      <c r="AL30" s="293"/>
      <c r="AM30" s="293"/>
      <c r="AN30" s="293"/>
      <c r="AO30" s="293"/>
      <c r="AP30" s="293"/>
    </row>
    <row r="31" customFormat="false" ht="12.75" hidden="false" customHeight="false" outlineLevel="0" collapsed="false">
      <c r="A31" s="317" t="s">
        <v>194</v>
      </c>
      <c r="B31" s="318"/>
      <c r="C31" s="318"/>
      <c r="D31" s="318"/>
      <c r="E31" s="343" t="n">
        <f aca="false">F8</f>
        <v>0</v>
      </c>
      <c r="F31" s="343" t="n">
        <f aca="false">E34</f>
        <v>0</v>
      </c>
      <c r="G31" s="343" t="n">
        <f aca="false">F34</f>
        <v>0</v>
      </c>
      <c r="H31" s="343" t="n">
        <f aca="false">G34</f>
        <v>0</v>
      </c>
      <c r="I31" s="343" t="n">
        <f aca="false">H34</f>
        <v>0</v>
      </c>
      <c r="J31" s="343" t="n">
        <f aca="false">I34</f>
        <v>0</v>
      </c>
      <c r="K31" s="343" t="n">
        <f aca="false">J34</f>
        <v>0</v>
      </c>
      <c r="L31" s="343" t="n">
        <f aca="false">K34</f>
        <v>0</v>
      </c>
      <c r="M31" s="343" t="n">
        <f aca="false">L34</f>
        <v>0</v>
      </c>
      <c r="N31" s="343" t="n">
        <f aca="false">M34</f>
        <v>0</v>
      </c>
      <c r="O31" s="317"/>
      <c r="Q31" s="286"/>
      <c r="R31" s="286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3"/>
      <c r="AD31" s="342"/>
      <c r="AE31" s="342"/>
      <c r="AF31" s="342"/>
      <c r="AG31" s="342"/>
      <c r="AH31" s="342"/>
      <c r="AI31" s="342"/>
      <c r="AJ31" s="342"/>
      <c r="AK31" s="342"/>
      <c r="AL31" s="337"/>
      <c r="AM31" s="337"/>
      <c r="AN31" s="337"/>
      <c r="AO31" s="337"/>
      <c r="AP31" s="337"/>
    </row>
    <row r="32" customFormat="false" ht="12.75" hidden="false" customHeight="false" outlineLevel="0" collapsed="false">
      <c r="A32" s="322" t="s">
        <v>199</v>
      </c>
      <c r="B32" s="322"/>
      <c r="C32" s="322"/>
      <c r="D32" s="322"/>
      <c r="E32" s="336" t="n">
        <f aca="false">IF('Fin Stats and Ratios'!$I$16=1,Debt!E60,IF('Fin Stats and Ratios'!$I$16=2,E72,IF('Fin Stats and Ratios'!$I$16=3,Debt!E89-Debt!E90,"Enter Type of Amort")))</f>
        <v>0</v>
      </c>
      <c r="F32" s="336" t="n">
        <f aca="false">IF('Fin Stats and Ratios'!$I$16=1,Debt!F60,IF('Fin Stats and Ratios'!$I$16=2,F72,IF('Fin Stats and Ratios'!$I$16=3,Debt!F89-Debt!F90,"Enter Type of Amort")))</f>
        <v>0</v>
      </c>
      <c r="G32" s="336" t="n">
        <f aca="false">IF('Fin Stats and Ratios'!$I$16=1,Debt!G60,IF('Fin Stats and Ratios'!$I$16=2,G72,IF('Fin Stats and Ratios'!$I$16=3,Debt!G89-Debt!G90,"Enter Type of Amort")))</f>
        <v>0</v>
      </c>
      <c r="H32" s="336" t="n">
        <f aca="false">IF('Fin Stats and Ratios'!$I$16=1,Debt!H60,IF('Fin Stats and Ratios'!$I$16=2,H72,IF('Fin Stats and Ratios'!$I$16=3,Debt!H89-Debt!H90,"Enter Type of Amort")))</f>
        <v>0</v>
      </c>
      <c r="I32" s="336" t="n">
        <f aca="false">IF('Fin Stats and Ratios'!$I$16=1,Debt!I60,IF('Fin Stats and Ratios'!$I$16=2,I72,IF('Fin Stats and Ratios'!$I$16=3,Debt!I89-Debt!I90,"Enter Type of Amort")))</f>
        <v>0</v>
      </c>
      <c r="J32" s="336" t="n">
        <f aca="false">IF('Fin Stats and Ratios'!$I$16=1,Debt!J60,IF('Fin Stats and Ratios'!$I$16=2,J72,IF('Fin Stats and Ratios'!$I$16=3,Debt!J89-Debt!J90,"Enter Type of Amort")))</f>
        <v>0</v>
      </c>
      <c r="K32" s="336" t="n">
        <f aca="false">IF('Fin Stats and Ratios'!$I$16=1,Debt!K60,IF('Fin Stats and Ratios'!$I$16=2,K72,IF('Fin Stats and Ratios'!$I$16=3,Debt!K89-Debt!K90,"Enter Type of Amort")))</f>
        <v>0</v>
      </c>
      <c r="L32" s="336" t="n">
        <f aca="false">IF('Fin Stats and Ratios'!$I$16=1,Debt!L60,IF('Fin Stats and Ratios'!$I$16=2,L72,IF('Fin Stats and Ratios'!$I$16=3,Debt!L89-Debt!L90,"Enter Type of Amort")))</f>
        <v>0</v>
      </c>
      <c r="M32" s="336" t="n">
        <f aca="false">IF('Fin Stats and Ratios'!$I$16=1,Debt!M60,IF('Fin Stats and Ratios'!$I$16=2,M72,IF('Fin Stats and Ratios'!$I$16=3,Debt!M89-Debt!M90,"Enter Type of Amort")))</f>
        <v>0</v>
      </c>
      <c r="N32" s="336" t="n">
        <f aca="false">IF('Fin Stats and Ratios'!$I$16=1,Debt!N60,IF('Fin Stats and Ratios'!$I$16=2,N72,IF('Fin Stats and Ratios'!$I$16=3,Debt!N89-Debt!N90,"Enter Type of Amort")))</f>
        <v>0</v>
      </c>
      <c r="O32" s="286"/>
      <c r="Q32" s="286"/>
      <c r="R32" s="286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3"/>
      <c r="AD32" s="342"/>
      <c r="AE32" s="344"/>
      <c r="AF32" s="342"/>
      <c r="AG32" s="342"/>
      <c r="AH32" s="342"/>
      <c r="AI32" s="342"/>
      <c r="AJ32" s="342"/>
      <c r="AK32" s="342"/>
      <c r="AL32" s="337"/>
      <c r="AM32" s="337"/>
      <c r="AN32" s="337"/>
      <c r="AO32" s="337"/>
      <c r="AP32" s="337"/>
    </row>
    <row r="33" customFormat="false" ht="12.75" hidden="false" customHeight="false" outlineLevel="0" collapsed="false">
      <c r="A33" s="345" t="s">
        <v>200</v>
      </c>
      <c r="B33" s="345"/>
      <c r="C33" s="345"/>
      <c r="D33" s="345"/>
      <c r="E33" s="346" t="n">
        <v>0</v>
      </c>
      <c r="F33" s="346" t="n">
        <v>0</v>
      </c>
      <c r="G33" s="346" t="n">
        <v>0</v>
      </c>
      <c r="H33" s="346" t="n">
        <v>0</v>
      </c>
      <c r="I33" s="346" t="n">
        <v>0</v>
      </c>
      <c r="J33" s="346" t="n">
        <v>0</v>
      </c>
      <c r="K33" s="346" t="n">
        <v>0</v>
      </c>
      <c r="L33" s="346" t="n">
        <v>0</v>
      </c>
      <c r="M33" s="346" t="n">
        <v>0</v>
      </c>
      <c r="N33" s="346" t="n">
        <v>0</v>
      </c>
      <c r="O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337"/>
      <c r="AD33" s="342"/>
      <c r="AE33" s="342"/>
      <c r="AF33" s="342"/>
      <c r="AG33" s="342"/>
      <c r="AH33" s="342"/>
      <c r="AI33" s="342"/>
      <c r="AJ33" s="342"/>
      <c r="AK33" s="342"/>
      <c r="AL33" s="337"/>
      <c r="AM33" s="337"/>
      <c r="AN33" s="337"/>
      <c r="AO33" s="337"/>
      <c r="AP33" s="337"/>
    </row>
    <row r="34" customFormat="false" ht="12.75" hidden="false" customHeight="false" outlineLevel="0" collapsed="false">
      <c r="A34" s="302" t="s">
        <v>197</v>
      </c>
      <c r="B34" s="302"/>
      <c r="C34" s="302"/>
      <c r="D34" s="302"/>
      <c r="E34" s="347" t="n">
        <f aca="false">E31-E32-E33</f>
        <v>0</v>
      </c>
      <c r="F34" s="347" t="n">
        <f aca="false">F31-F32-F33</f>
        <v>0</v>
      </c>
      <c r="G34" s="347" t="n">
        <f aca="false">G31-G32-G33</f>
        <v>0</v>
      </c>
      <c r="H34" s="347" t="n">
        <f aca="false">H31-H32-H33</f>
        <v>0</v>
      </c>
      <c r="I34" s="347" t="n">
        <f aca="false">I31-I32-I33</f>
        <v>0</v>
      </c>
      <c r="J34" s="347" t="n">
        <f aca="false">J31-J32-J33</f>
        <v>0</v>
      </c>
      <c r="K34" s="347" t="n">
        <f aca="false">K31-K32-K33</f>
        <v>0</v>
      </c>
      <c r="L34" s="347" t="n">
        <f aca="false">L31-L32-L33</f>
        <v>0</v>
      </c>
      <c r="M34" s="347" t="n">
        <f aca="false">M31-M32-M33</f>
        <v>0</v>
      </c>
      <c r="N34" s="347" t="n">
        <f aca="false">N31-N32-N33</f>
        <v>0</v>
      </c>
      <c r="O34" s="312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337"/>
      <c r="AD34" s="342"/>
      <c r="AE34" s="342"/>
      <c r="AF34" s="342"/>
      <c r="AG34" s="342"/>
      <c r="AH34" s="342"/>
      <c r="AI34" s="342"/>
      <c r="AJ34" s="342"/>
      <c r="AK34" s="342"/>
      <c r="AL34" s="337"/>
      <c r="AM34" s="337"/>
      <c r="AN34" s="337"/>
      <c r="AO34" s="337"/>
      <c r="AP34" s="337"/>
    </row>
    <row r="35" customFormat="false" ht="13.5" hidden="false" customHeight="false" outlineLevel="0" collapsed="false">
      <c r="A35" s="348" t="s">
        <v>198</v>
      </c>
      <c r="B35" s="348"/>
      <c r="C35" s="348"/>
      <c r="D35" s="348"/>
      <c r="E35" s="349" t="n">
        <f aca="false">E31*$G$8</f>
        <v>0</v>
      </c>
      <c r="F35" s="349" t="n">
        <f aca="false">F31*$G$8</f>
        <v>0</v>
      </c>
      <c r="G35" s="349" t="n">
        <f aca="false">G31*$G$8</f>
        <v>0</v>
      </c>
      <c r="H35" s="349" t="n">
        <f aca="false">H31*$G$8</f>
        <v>0</v>
      </c>
      <c r="I35" s="349" t="n">
        <f aca="false">I31*$G$8</f>
        <v>0</v>
      </c>
      <c r="J35" s="349" t="n">
        <f aca="false">J31*$G$8</f>
        <v>0</v>
      </c>
      <c r="K35" s="349" t="n">
        <f aca="false">K31*$G$8</f>
        <v>0</v>
      </c>
      <c r="L35" s="349" t="n">
        <f aca="false">L31*$G$8</f>
        <v>0</v>
      </c>
      <c r="M35" s="349" t="n">
        <f aca="false">M31*$G$8</f>
        <v>0</v>
      </c>
      <c r="N35" s="349" t="n">
        <f aca="false">N31*$G$8</f>
        <v>0</v>
      </c>
      <c r="O35" s="341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337"/>
      <c r="AD35" s="342"/>
      <c r="AE35" s="342"/>
      <c r="AF35" s="342"/>
      <c r="AG35" s="342"/>
      <c r="AH35" s="342"/>
      <c r="AI35" s="342"/>
      <c r="AJ35" s="342"/>
      <c r="AK35" s="342"/>
      <c r="AL35" s="337"/>
      <c r="AM35" s="337"/>
      <c r="AN35" s="337"/>
      <c r="AO35" s="337"/>
      <c r="AP35" s="337"/>
    </row>
    <row r="36" customFormat="false" ht="13.5" hidden="false" customHeight="false" outlineLevel="0" collapsed="false">
      <c r="A36" s="333"/>
      <c r="B36" s="333"/>
      <c r="C36" s="333"/>
      <c r="D36" s="333"/>
      <c r="E36" s="334"/>
      <c r="F36" s="341"/>
      <c r="G36" s="341"/>
      <c r="H36" s="341"/>
      <c r="I36" s="341"/>
      <c r="J36" s="341"/>
      <c r="K36" s="160"/>
      <c r="L36" s="160"/>
      <c r="M36" s="160"/>
      <c r="N36" s="160"/>
      <c r="O36" s="341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337"/>
      <c r="AD36" s="342"/>
      <c r="AE36" s="342"/>
      <c r="AF36" s="342"/>
      <c r="AG36" s="342"/>
      <c r="AH36" s="342"/>
      <c r="AI36" s="342"/>
      <c r="AJ36" s="342"/>
      <c r="AK36" s="342"/>
      <c r="AL36" s="337"/>
      <c r="AM36" s="337"/>
      <c r="AN36" s="337"/>
      <c r="AO36" s="337"/>
      <c r="AP36" s="337"/>
    </row>
    <row r="37" customFormat="false" ht="12.75" hidden="false" customHeight="false" outlineLevel="0" collapsed="false">
      <c r="A37" s="313" t="str">
        <f aca="false">+A9</f>
        <v>Junior Debt (US$)</v>
      </c>
      <c r="B37" s="314"/>
      <c r="C37" s="314"/>
      <c r="D37" s="314"/>
      <c r="E37" s="315"/>
      <c r="F37" s="315"/>
      <c r="G37" s="315"/>
      <c r="H37" s="315"/>
      <c r="I37" s="315"/>
      <c r="J37" s="315"/>
      <c r="K37" s="131"/>
      <c r="L37" s="131"/>
      <c r="M37" s="131"/>
      <c r="N37" s="131"/>
      <c r="O37" s="311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337"/>
      <c r="AD37" s="342"/>
      <c r="AE37" s="342"/>
      <c r="AF37" s="342"/>
      <c r="AG37" s="342"/>
      <c r="AH37" s="342"/>
      <c r="AI37" s="342"/>
      <c r="AJ37" s="342"/>
      <c r="AK37" s="342"/>
      <c r="AL37" s="337"/>
      <c r="AM37" s="337"/>
      <c r="AN37" s="337"/>
      <c r="AO37" s="337"/>
      <c r="AP37" s="337"/>
    </row>
    <row r="38" customFormat="false" ht="12.75" hidden="false" customHeight="false" outlineLevel="0" collapsed="false">
      <c r="A38" s="317" t="s">
        <v>194</v>
      </c>
      <c r="B38" s="318"/>
      <c r="C38" s="318"/>
      <c r="D38" s="318"/>
      <c r="E38" s="350" t="n">
        <f aca="false">F9</f>
        <v>0</v>
      </c>
      <c r="F38" s="350" t="n">
        <f aca="false">E41</f>
        <v>0</v>
      </c>
      <c r="G38" s="350" t="n">
        <f aca="false">F41</f>
        <v>0</v>
      </c>
      <c r="H38" s="350" t="n">
        <f aca="false">G41</f>
        <v>0</v>
      </c>
      <c r="I38" s="350" t="n">
        <f aca="false">H41</f>
        <v>0</v>
      </c>
      <c r="J38" s="350" t="n">
        <f aca="false">I41</f>
        <v>0</v>
      </c>
      <c r="K38" s="350" t="n">
        <f aca="false">J41</f>
        <v>0</v>
      </c>
      <c r="L38" s="350" t="n">
        <f aca="false">K41</f>
        <v>0</v>
      </c>
      <c r="M38" s="350" t="n">
        <f aca="false">L41</f>
        <v>0</v>
      </c>
      <c r="N38" s="350" t="n">
        <f aca="false">M41</f>
        <v>0</v>
      </c>
      <c r="O38" s="317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337"/>
      <c r="AD38" s="342"/>
      <c r="AE38" s="342"/>
      <c r="AF38" s="342"/>
      <c r="AG38" s="342"/>
      <c r="AH38" s="342"/>
      <c r="AI38" s="342"/>
      <c r="AJ38" s="342"/>
      <c r="AK38" s="342"/>
      <c r="AL38" s="337"/>
      <c r="AM38" s="337"/>
      <c r="AN38" s="337"/>
      <c r="AO38" s="337"/>
      <c r="AP38" s="337"/>
    </row>
    <row r="39" customFormat="false" ht="12.75" hidden="false" customHeight="false" outlineLevel="0" collapsed="false">
      <c r="A39" s="322" t="s">
        <v>199</v>
      </c>
      <c r="B39" s="322"/>
      <c r="C39" s="322"/>
      <c r="D39" s="322"/>
      <c r="E39" s="351" t="n">
        <f aca="false">IF('Fin Stats and Ratios'!$I$17=1,Debt!E61,IF('Fin Stats and Ratios'!$I$17=2,E76,IF('Fin Stats and Ratios'!$I$17=3,Debt!E94-Debt!E95,"Enter Type of Amort")))</f>
        <v>0</v>
      </c>
      <c r="F39" s="351" t="n">
        <f aca="false">IF('Fin Stats and Ratios'!$I$17=1,Debt!F61,IF('Fin Stats and Ratios'!$I$17=2,F76,IF('Fin Stats and Ratios'!$I$17=3,Debt!F94-Debt!F95,"Enter Type of Amort")))</f>
        <v>0</v>
      </c>
      <c r="G39" s="351" t="n">
        <f aca="false">IF('Fin Stats and Ratios'!$I$17=1,Debt!G61,IF('Fin Stats and Ratios'!$I$17=2,G76,IF('Fin Stats and Ratios'!$I$17=3,Debt!G94-Debt!G95,"Enter Type of Amort")))</f>
        <v>0</v>
      </c>
      <c r="H39" s="351" t="n">
        <f aca="false">IF('Fin Stats and Ratios'!$I$17=1,Debt!H61,IF('Fin Stats and Ratios'!$I$17=2,H76,IF('Fin Stats and Ratios'!$I$17=3,Debt!H94-Debt!H95,"Enter Type of Amort")))</f>
        <v>0</v>
      </c>
      <c r="I39" s="351" t="n">
        <f aca="false">IF('Fin Stats and Ratios'!$I$17=1,Debt!I61,IF('Fin Stats and Ratios'!$I$17=2,I76,IF('Fin Stats and Ratios'!$I$17=3,Debt!I94-Debt!I95,"Enter Type of Amort")))</f>
        <v>0</v>
      </c>
      <c r="J39" s="351" t="n">
        <f aca="false">IF('Fin Stats and Ratios'!$I$17=1,Debt!J61,IF('Fin Stats and Ratios'!$I$17=2,J76,IF('Fin Stats and Ratios'!$I$17=3,Debt!J94-Debt!J95,"Enter Type of Amort")))</f>
        <v>0</v>
      </c>
      <c r="K39" s="351" t="n">
        <f aca="false">IF('Fin Stats and Ratios'!$I$17=1,Debt!K61,IF('Fin Stats and Ratios'!$I$17=2,K76,IF('Fin Stats and Ratios'!$I$17=3,Debt!K94-Debt!K95,"Enter Type of Amort")))</f>
        <v>0</v>
      </c>
      <c r="L39" s="351" t="n">
        <f aca="false">IF('Fin Stats and Ratios'!$I$17=1,Debt!L61,IF('Fin Stats and Ratios'!$I$17=2,L76,IF('Fin Stats and Ratios'!$I$17=3,Debt!L94-Debt!L95,"Enter Type of Amort")))</f>
        <v>0</v>
      </c>
      <c r="M39" s="351" t="n">
        <f aca="false">IF('Fin Stats and Ratios'!$I$17=1,Debt!M61,IF('Fin Stats and Ratios'!$I$17=2,M76,IF('Fin Stats and Ratios'!$I$17=3,Debt!M94-Debt!M95,"Enter Type of Amort")))</f>
        <v>0</v>
      </c>
      <c r="N39" s="351" t="n">
        <f aca="false">IF('Fin Stats and Ratios'!$I$17=1,Debt!N61,IF('Fin Stats and Ratios'!$I$17=2,N76,IF('Fin Stats and Ratios'!$I$17=3,Debt!N94-Debt!N95,"Enter Type of Amort")))</f>
        <v>0</v>
      </c>
      <c r="O39" s="286"/>
      <c r="P39" s="17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337"/>
      <c r="AD39" s="342"/>
      <c r="AE39" s="342"/>
      <c r="AF39" s="342"/>
      <c r="AG39" s="342"/>
      <c r="AH39" s="342"/>
      <c r="AI39" s="342"/>
      <c r="AJ39" s="342"/>
      <c r="AK39" s="342"/>
      <c r="AL39" s="337"/>
      <c r="AM39" s="337"/>
      <c r="AN39" s="337"/>
      <c r="AO39" s="337"/>
      <c r="AP39" s="337"/>
    </row>
    <row r="40" customFormat="false" ht="12.75" hidden="false" customHeight="false" outlineLevel="0" collapsed="false">
      <c r="A40" s="345" t="s">
        <v>200</v>
      </c>
      <c r="B40" s="345"/>
      <c r="C40" s="345"/>
      <c r="D40" s="345"/>
      <c r="E40" s="352" t="n">
        <v>0</v>
      </c>
      <c r="F40" s="352" t="n">
        <v>0</v>
      </c>
      <c r="G40" s="352" t="n">
        <v>0</v>
      </c>
      <c r="H40" s="352" t="n">
        <v>0</v>
      </c>
      <c r="I40" s="352" t="n">
        <v>0</v>
      </c>
      <c r="J40" s="352" t="n">
        <v>0</v>
      </c>
      <c r="K40" s="352" t="n">
        <v>0</v>
      </c>
      <c r="L40" s="352" t="n">
        <v>0</v>
      </c>
      <c r="M40" s="352" t="n">
        <v>0</v>
      </c>
      <c r="N40" s="352" t="n">
        <v>0</v>
      </c>
      <c r="O40" s="286"/>
      <c r="P40" s="17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337"/>
      <c r="AD40" s="342"/>
      <c r="AE40" s="342"/>
      <c r="AF40" s="342"/>
      <c r="AG40" s="342"/>
      <c r="AH40" s="342"/>
      <c r="AI40" s="342"/>
      <c r="AJ40" s="342"/>
      <c r="AK40" s="342"/>
      <c r="AL40" s="337"/>
      <c r="AM40" s="337"/>
      <c r="AN40" s="337"/>
      <c r="AO40" s="337"/>
      <c r="AP40" s="337"/>
    </row>
    <row r="41" customFormat="false" ht="12.75" hidden="false" customHeight="false" outlineLevel="0" collapsed="false">
      <c r="A41" s="302" t="s">
        <v>197</v>
      </c>
      <c r="B41" s="302"/>
      <c r="C41" s="302"/>
      <c r="D41" s="302"/>
      <c r="E41" s="347" t="n">
        <f aca="false">E38-E39-E40</f>
        <v>0</v>
      </c>
      <c r="F41" s="347" t="n">
        <f aca="false">F38-F39-F40</f>
        <v>0</v>
      </c>
      <c r="G41" s="347" t="n">
        <f aca="false">G38-G39-G40</f>
        <v>0</v>
      </c>
      <c r="H41" s="347" t="n">
        <f aca="false">H38-H39-H40</f>
        <v>0</v>
      </c>
      <c r="I41" s="347" t="n">
        <f aca="false">I38-I39-I40</f>
        <v>0</v>
      </c>
      <c r="J41" s="347" t="n">
        <f aca="false">J38-J39-J40</f>
        <v>0</v>
      </c>
      <c r="K41" s="347" t="n">
        <f aca="false">K38-K39-K40</f>
        <v>0</v>
      </c>
      <c r="L41" s="347" t="n">
        <f aca="false">L38-L39-L40</f>
        <v>0</v>
      </c>
      <c r="M41" s="347" t="n">
        <f aca="false">M38-M39-M40</f>
        <v>0</v>
      </c>
      <c r="N41" s="347" t="n">
        <f aca="false">N38-N39-N40</f>
        <v>0</v>
      </c>
      <c r="O41" s="312"/>
      <c r="P41" s="17"/>
      <c r="Q41" s="353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337"/>
      <c r="AD41" s="342"/>
      <c r="AE41" s="342"/>
      <c r="AF41" s="342"/>
      <c r="AG41" s="342"/>
      <c r="AH41" s="342"/>
      <c r="AI41" s="342"/>
      <c r="AJ41" s="342"/>
      <c r="AK41" s="342"/>
      <c r="AL41" s="337"/>
      <c r="AM41" s="293"/>
      <c r="AN41" s="293"/>
      <c r="AO41" s="293"/>
      <c r="AP41" s="293"/>
    </row>
    <row r="42" customFormat="false" ht="13.5" hidden="false" customHeight="false" outlineLevel="0" collapsed="false">
      <c r="A42" s="348" t="s">
        <v>198</v>
      </c>
      <c r="B42" s="348"/>
      <c r="C42" s="348"/>
      <c r="D42" s="348"/>
      <c r="E42" s="354"/>
      <c r="F42" s="355" t="e">
        <f aca="false">+#REF!</f>
        <v>#REF!</v>
      </c>
      <c r="G42" s="355" t="e">
        <f aca="false">+#REF!</f>
        <v>#REF!</v>
      </c>
      <c r="H42" s="355" t="e">
        <f aca="false">+#REF!</f>
        <v>#REF!</v>
      </c>
      <c r="I42" s="355" t="e">
        <f aca="false">+#REF!</f>
        <v>#REF!</v>
      </c>
      <c r="J42" s="355" t="e">
        <f aca="false">+#REF!</f>
        <v>#REF!</v>
      </c>
      <c r="K42" s="356"/>
      <c r="L42" s="356"/>
      <c r="M42" s="356"/>
      <c r="N42" s="356"/>
      <c r="O42" s="341"/>
      <c r="P42" s="17"/>
      <c r="Q42" s="286"/>
      <c r="R42" s="286"/>
      <c r="S42" s="353"/>
      <c r="T42" s="286"/>
      <c r="U42" s="286"/>
      <c r="V42" s="286"/>
      <c r="W42" s="286"/>
      <c r="X42" s="286"/>
      <c r="Y42" s="353"/>
      <c r="Z42" s="286"/>
      <c r="AA42" s="286"/>
      <c r="AB42" s="286"/>
      <c r="AC42" s="357"/>
      <c r="AD42" s="358"/>
      <c r="AE42" s="342"/>
      <c r="AF42" s="342"/>
      <c r="AG42" s="342"/>
      <c r="AH42" s="342"/>
      <c r="AI42" s="342"/>
      <c r="AJ42" s="342"/>
      <c r="AK42" s="342"/>
      <c r="AL42" s="337"/>
      <c r="AM42" s="293"/>
      <c r="AN42" s="293"/>
      <c r="AO42" s="293"/>
      <c r="AP42" s="293"/>
    </row>
    <row r="43" customFormat="false" ht="13.5" hidden="false" customHeight="false" outlineLevel="0" collapsed="false">
      <c r="A43" s="333"/>
      <c r="B43" s="333"/>
      <c r="C43" s="333"/>
      <c r="D43" s="333"/>
      <c r="E43" s="334"/>
      <c r="F43" s="341"/>
      <c r="G43" s="341"/>
      <c r="H43" s="341"/>
      <c r="I43" s="341"/>
      <c r="J43" s="341"/>
      <c r="K43" s="160"/>
      <c r="L43" s="160"/>
      <c r="M43" s="160"/>
      <c r="N43" s="160"/>
      <c r="O43" s="341"/>
      <c r="P43" s="17"/>
      <c r="Q43" s="286"/>
      <c r="R43" s="286"/>
      <c r="S43" s="353"/>
      <c r="T43" s="286"/>
      <c r="U43" s="286"/>
      <c r="V43" s="286"/>
      <c r="W43" s="286"/>
      <c r="X43" s="286"/>
      <c r="Y43" s="353"/>
      <c r="Z43" s="286"/>
      <c r="AA43" s="286"/>
      <c r="AB43" s="286"/>
      <c r="AC43" s="357"/>
      <c r="AD43" s="358"/>
      <c r="AE43" s="342"/>
      <c r="AF43" s="342"/>
      <c r="AG43" s="342"/>
      <c r="AH43" s="342"/>
      <c r="AI43" s="342"/>
      <c r="AJ43" s="342"/>
      <c r="AK43" s="342"/>
      <c r="AL43" s="337"/>
      <c r="AM43" s="293"/>
      <c r="AN43" s="293"/>
      <c r="AO43" s="293"/>
      <c r="AP43" s="293"/>
    </row>
    <row r="44" customFormat="false" ht="12.75" hidden="false" customHeight="false" outlineLevel="0" collapsed="false">
      <c r="A44" s="359" t="s">
        <v>201</v>
      </c>
      <c r="B44" s="360"/>
      <c r="C44" s="360"/>
      <c r="D44" s="360"/>
      <c r="E44" s="360"/>
      <c r="F44" s="361"/>
      <c r="G44" s="361"/>
      <c r="H44" s="361"/>
      <c r="I44" s="361"/>
      <c r="J44" s="361"/>
      <c r="K44" s="131"/>
      <c r="L44" s="131"/>
      <c r="M44" s="131"/>
      <c r="N44" s="131"/>
      <c r="O44" s="362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363"/>
      <c r="AD44" s="364"/>
      <c r="AE44" s="342"/>
      <c r="AF44" s="342"/>
      <c r="AG44" s="342"/>
      <c r="AH44" s="342"/>
      <c r="AI44" s="342"/>
      <c r="AJ44" s="342"/>
      <c r="AK44" s="364"/>
      <c r="AL44" s="363"/>
      <c r="AM44" s="363"/>
      <c r="AN44" s="363"/>
      <c r="AO44" s="363"/>
      <c r="AP44" s="363"/>
    </row>
    <row r="45" customFormat="false" ht="12.75" hidden="false" customHeight="false" outlineLevel="0" collapsed="false">
      <c r="A45" s="282" t="s">
        <v>202</v>
      </c>
      <c r="B45" s="282"/>
      <c r="C45" s="282"/>
      <c r="D45" s="282"/>
      <c r="E45" s="282"/>
      <c r="F45" s="282" t="e">
        <f aca="false">'Unlev. Consolid'!H50</f>
        <v>#REF!</v>
      </c>
      <c r="G45" s="282" t="e">
        <f aca="false">'Unlev. Consolid'!I50</f>
        <v>#REF!</v>
      </c>
      <c r="H45" s="282" t="e">
        <f aca="false">'Unlev. Consolid'!J50</f>
        <v>#REF!</v>
      </c>
      <c r="I45" s="282" t="e">
        <f aca="false">'Unlev. Consolid'!K50</f>
        <v>#REF!</v>
      </c>
      <c r="J45" s="282" t="e">
        <f aca="false">'Unlev. Consolid'!L50</f>
        <v>#REF!</v>
      </c>
      <c r="K45" s="282" t="e">
        <f aca="false">'Unlev. Consolid'!M50</f>
        <v>#REF!</v>
      </c>
      <c r="L45" s="282" t="e">
        <f aca="false">'Unlev. Consolid'!N50</f>
        <v>#REF!</v>
      </c>
      <c r="M45" s="282" t="e">
        <f aca="false">'Unlev. Consolid'!O50</f>
        <v>#REF!</v>
      </c>
      <c r="N45" s="282" t="e">
        <f aca="false">'Unlev. Consolid'!P50</f>
        <v>#REF!</v>
      </c>
      <c r="O45" s="282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365"/>
      <c r="AD45" s="366"/>
      <c r="AE45" s="342"/>
      <c r="AF45" s="342"/>
      <c r="AG45" s="342"/>
      <c r="AH45" s="342"/>
      <c r="AI45" s="342"/>
      <c r="AJ45" s="342"/>
      <c r="AK45" s="366"/>
      <c r="AL45" s="365"/>
      <c r="AM45" s="365"/>
      <c r="AN45" s="365"/>
      <c r="AO45" s="365"/>
      <c r="AP45" s="365"/>
    </row>
    <row r="46" customFormat="false" ht="12.75" hidden="false" customHeight="false" outlineLevel="0" collapsed="false">
      <c r="A46" s="233" t="s">
        <v>203</v>
      </c>
      <c r="B46" s="233"/>
      <c r="C46" s="233"/>
      <c r="D46" s="233"/>
      <c r="E46" s="233"/>
      <c r="F46" s="367" t="e">
        <f aca="false">-(#REF!-#REF!)</f>
        <v>#REF!</v>
      </c>
      <c r="G46" s="367" t="e">
        <f aca="false">-(#REF!-#REF!)</f>
        <v>#REF!</v>
      </c>
      <c r="H46" s="367" t="e">
        <f aca="false">-(#REF!-#REF!)</f>
        <v>#REF!</v>
      </c>
      <c r="I46" s="367" t="e">
        <f aca="false">-(#REF!-#REF!)</f>
        <v>#REF!</v>
      </c>
      <c r="J46" s="367" t="e">
        <f aca="false">-(#REF!-#REF!)</f>
        <v>#REF!</v>
      </c>
      <c r="K46" s="160"/>
      <c r="L46" s="160"/>
      <c r="M46" s="160"/>
      <c r="N46" s="160"/>
      <c r="O46" s="368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369"/>
      <c r="AD46" s="370"/>
      <c r="AE46" s="342"/>
      <c r="AF46" s="342"/>
      <c r="AG46" s="342"/>
      <c r="AH46" s="342"/>
      <c r="AI46" s="342"/>
      <c r="AJ46" s="342"/>
      <c r="AK46" s="370"/>
      <c r="AL46" s="369"/>
      <c r="AM46" s="369"/>
      <c r="AN46" s="369"/>
      <c r="AO46" s="369"/>
      <c r="AP46" s="369"/>
    </row>
    <row r="47" customFormat="false" ht="12.75" hidden="false" customHeight="false" outlineLevel="0" collapsed="false">
      <c r="A47" s="371" t="s">
        <v>204</v>
      </c>
      <c r="B47" s="371"/>
      <c r="C47" s="371"/>
      <c r="D47" s="371"/>
      <c r="E47" s="371"/>
      <c r="F47" s="372" t="e">
        <f aca="false">SUM(F45:F46)</f>
        <v>#REF!</v>
      </c>
      <c r="G47" s="372" t="e">
        <f aca="false">SUM(G45:G46)</f>
        <v>#REF!</v>
      </c>
      <c r="H47" s="372" t="e">
        <f aca="false">SUM(H45:H46)</f>
        <v>#REF!</v>
      </c>
      <c r="I47" s="372" t="e">
        <f aca="false">SUM(I45:I46)</f>
        <v>#REF!</v>
      </c>
      <c r="J47" s="372" t="e">
        <f aca="false">SUM(J45:J46)</f>
        <v>#REF!</v>
      </c>
      <c r="K47" s="160"/>
      <c r="L47" s="160"/>
      <c r="M47" s="160"/>
      <c r="N47" s="160"/>
      <c r="O47" s="372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373"/>
      <c r="AD47" s="374"/>
      <c r="AE47" s="342"/>
      <c r="AF47" s="342"/>
      <c r="AG47" s="342"/>
      <c r="AH47" s="342"/>
      <c r="AI47" s="342"/>
      <c r="AJ47" s="342"/>
      <c r="AK47" s="374"/>
      <c r="AL47" s="373"/>
      <c r="AM47" s="373"/>
      <c r="AN47" s="373"/>
      <c r="AO47" s="373"/>
      <c r="AP47" s="373"/>
    </row>
    <row r="48" customFormat="false" ht="12.75" hidden="false" customHeight="false" outlineLevel="0" collapsed="false">
      <c r="A48" s="375"/>
      <c r="B48" s="375"/>
      <c r="C48" s="375"/>
      <c r="D48" s="375"/>
      <c r="E48" s="376" t="str">
        <f aca="false">+'[4]Financing Assumptions'!E33</f>
        <v>Debt Cash Sweep</v>
      </c>
      <c r="F48" s="377" t="e">
        <f aca="false">IF((F47)&lt;=0,0,#REF!*(F47))</f>
        <v>#REF!</v>
      </c>
      <c r="G48" s="377" t="e">
        <f aca="false">IF((G47)&lt;=0,0,#REF!*(G47))</f>
        <v>#REF!</v>
      </c>
      <c r="H48" s="377" t="e">
        <f aca="false">IF((H47)&lt;=0,0,#REF!*(H47))</f>
        <v>#REF!</v>
      </c>
      <c r="I48" s="377" t="e">
        <f aca="false">IF((I47)&lt;=0,0,#REF!*(I47))</f>
        <v>#REF!</v>
      </c>
      <c r="J48" s="377" t="e">
        <f aca="false">IF((J47)&lt;=0,0,#REF!*(J47))</f>
        <v>#REF!</v>
      </c>
      <c r="K48" s="160"/>
      <c r="L48" s="160"/>
      <c r="M48" s="160"/>
      <c r="N48" s="160"/>
      <c r="O48" s="377"/>
      <c r="Q48" s="192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373"/>
      <c r="AD48" s="374"/>
      <c r="AE48" s="342"/>
      <c r="AF48" s="374"/>
      <c r="AG48" s="374"/>
      <c r="AH48" s="374"/>
      <c r="AI48" s="374"/>
      <c r="AJ48" s="374"/>
      <c r="AK48" s="374"/>
      <c r="AL48" s="373"/>
      <c r="AM48" s="373"/>
      <c r="AN48" s="373"/>
      <c r="AO48" s="373"/>
      <c r="AP48" s="373"/>
    </row>
    <row r="49" customFormat="false" ht="12.75" hidden="false" customHeight="false" outlineLevel="0" collapsed="false">
      <c r="A49" s="233" t="str">
        <f aca="false">+A7</f>
        <v>Senior Tranche A (US$)</v>
      </c>
      <c r="B49" s="371"/>
      <c r="C49" s="371"/>
      <c r="D49" s="371"/>
      <c r="E49" s="371"/>
      <c r="F49" s="272" t="n">
        <f aca="false">IF($K$7=0,0,IF((F24+F25)&gt;F48,IF((F24+F25)&lt;=0,0,F48),(F24+F25)))</f>
        <v>0</v>
      </c>
      <c r="G49" s="272" t="n">
        <f aca="false">IF($K$7=0,0,IF((G24+G25)&gt;G48,IF((G24+G25)&lt;=0,0,G48),(G24+G25)))</f>
        <v>0</v>
      </c>
      <c r="H49" s="272" t="n">
        <f aca="false">IF($K$7=0,0,IF((H24+H25)&gt;H48,IF((H24+H25)&lt;=0,0,H48),(H24+H25)))</f>
        <v>0</v>
      </c>
      <c r="I49" s="272" t="n">
        <f aca="false">IF($K$7=0,0,IF((I24+I25)&gt;I48,IF((I24+I25)&lt;=0,0,I48),(I24+I25)))</f>
        <v>0</v>
      </c>
      <c r="J49" s="272" t="n">
        <f aca="false">IF($K$7=0,0,IF((J24+J25)&gt;J48,IF((J24+J25)&lt;=0,0,J48),(J24+J25)))</f>
        <v>0</v>
      </c>
      <c r="K49" s="160"/>
      <c r="L49" s="160"/>
      <c r="M49" s="160"/>
      <c r="N49" s="160"/>
      <c r="O49" s="272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373"/>
      <c r="AD49" s="374"/>
      <c r="AE49" s="374"/>
      <c r="AF49" s="374"/>
      <c r="AG49" s="374"/>
      <c r="AH49" s="374"/>
      <c r="AI49" s="374"/>
      <c r="AJ49" s="374"/>
      <c r="AK49" s="374"/>
      <c r="AL49" s="373"/>
      <c r="AM49" s="373"/>
      <c r="AN49" s="373"/>
      <c r="AO49" s="373"/>
      <c r="AP49" s="373"/>
    </row>
    <row r="50" customFormat="false" ht="12.75" hidden="false" customHeight="false" outlineLevel="0" collapsed="false">
      <c r="A50" s="233" t="str">
        <f aca="false">+A8</f>
        <v>Senior Tranche B (US$)</v>
      </c>
      <c r="B50" s="371"/>
      <c r="C50" s="371"/>
      <c r="D50" s="371"/>
      <c r="E50" s="371"/>
      <c r="F50" s="272" t="n">
        <f aca="false">IF($K$8=0,0,IF(F48=F49,0,IF(F31+F32&gt;=0,IF((F31+F32)&lt;F48,F31+F32,F48-F49),0)))</f>
        <v>0</v>
      </c>
      <c r="G50" s="272" t="n">
        <f aca="false">IF($K$8=0,0,IF(G48=G49,0,IF(G31+G32&gt;=0,IF((G31+G32)&lt;G48,G31+G32,G48-G49),0)))</f>
        <v>0</v>
      </c>
      <c r="H50" s="272" t="n">
        <f aca="false">IF($K$8=0,0,IF(H48=H49,0,IF(H31+H32&gt;=0,IF((H31+H32)&lt;H48-H49,H31+H32,H48-H49),0)))</f>
        <v>0</v>
      </c>
      <c r="I50" s="272" t="n">
        <f aca="false">IF($K$8=0,0,IF(I48=I49,0,IF(I31+I32&gt;=0,IF((I31+I32)&lt;I48-I49,I31+I32,I48-I49),0)))</f>
        <v>0</v>
      </c>
      <c r="J50" s="272" t="n">
        <f aca="false">IF($K$8=0,0,IF(J48=J49,0,IF(J31+J32&gt;=0,IF((J31+J32)&lt;J48-J49,J31+J32,J48-J49),0)))</f>
        <v>0</v>
      </c>
      <c r="K50" s="160"/>
      <c r="L50" s="160"/>
      <c r="M50" s="160"/>
      <c r="N50" s="160"/>
      <c r="O50" s="272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373"/>
      <c r="AD50" s="374"/>
      <c r="AE50" s="374"/>
      <c r="AF50" s="374"/>
      <c r="AG50" s="374"/>
      <c r="AH50" s="374"/>
      <c r="AI50" s="374"/>
      <c r="AJ50" s="374"/>
      <c r="AK50" s="374"/>
      <c r="AL50" s="373"/>
      <c r="AM50" s="373"/>
      <c r="AN50" s="373"/>
      <c r="AO50" s="373"/>
      <c r="AP50" s="373"/>
    </row>
    <row r="51" customFormat="false" ht="12.75" hidden="false" customHeight="false" outlineLevel="0" collapsed="false">
      <c r="A51" s="197" t="str">
        <f aca="false">+A9</f>
        <v>Junior Debt (US$)</v>
      </c>
      <c r="B51" s="378"/>
      <c r="C51" s="378"/>
      <c r="D51" s="378"/>
      <c r="E51" s="378"/>
      <c r="F51" s="218" t="n">
        <f aca="false">IF($K$9=0,0,IF(F48=F49,0,IF(F48=F49+F50,0,IF((F38+F39)&gt;=0,IF((F38+F39)&lt;F48,F38+F39,(F48)-F49-F50),0))))</f>
        <v>0</v>
      </c>
      <c r="G51" s="218" t="n">
        <f aca="false">IF($K$9=0,0,IF(G48=G49,0,IF(G48=G49+G50,0,IF((G38+G39)&gt;=0,IF((G38+G39)&lt;G48,G38+G39,(G48)-G49-G50),0))))</f>
        <v>0</v>
      </c>
      <c r="H51" s="218" t="n">
        <f aca="false">IF($K$9=0,0,IF(H48=H49,0,IF(H48=H49+H50,0,IF((H38+H39)&gt;=0,IF((H38+H39)&lt;H48,H38+H39,(H48)-H49-H50),0))))</f>
        <v>0</v>
      </c>
      <c r="I51" s="218" t="n">
        <f aca="false">IF($K$9=0,0,IF(I48=I49,0,IF(I48=I49+I50,0,IF((I38+I39)&gt;=0,IF((I38+I39)&lt;I48-I49-I50,I38+I39,I48-I49-I50),0))))</f>
        <v>0</v>
      </c>
      <c r="J51" s="218" t="n">
        <f aca="false">IF($K$9=0,0,IF(J48=J49,0,IF(J48=J49+J50,0,IF((J38+J39)&gt;=0,IF((J38+J39)&lt;J48,J38+J39,(J48)-J49-J50),0))))</f>
        <v>0</v>
      </c>
      <c r="K51" s="160"/>
      <c r="L51" s="160"/>
      <c r="M51" s="160"/>
      <c r="N51" s="160"/>
      <c r="O51" s="272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373"/>
      <c r="AD51" s="374"/>
      <c r="AE51" s="374"/>
      <c r="AF51" s="374"/>
      <c r="AG51" s="374"/>
      <c r="AH51" s="374"/>
      <c r="AI51" s="374"/>
      <c r="AJ51" s="374"/>
      <c r="AK51" s="374"/>
      <c r="AL51" s="373"/>
      <c r="AM51" s="373"/>
      <c r="AN51" s="373"/>
      <c r="AO51" s="373"/>
      <c r="AP51" s="373"/>
    </row>
    <row r="52" customFormat="false" ht="12.75" hidden="false" customHeight="false" outlineLevel="0" collapsed="false">
      <c r="A52" s="233"/>
      <c r="B52" s="371"/>
      <c r="C52" s="371"/>
      <c r="D52" s="371"/>
      <c r="E52" s="371"/>
      <c r="F52" s="371"/>
      <c r="G52" s="272"/>
      <c r="H52" s="272"/>
      <c r="I52" s="272"/>
      <c r="J52" s="272"/>
      <c r="K52" s="272"/>
      <c r="L52" s="160"/>
      <c r="M52" s="160"/>
      <c r="N52" s="160"/>
      <c r="O52" s="160"/>
      <c r="P52" s="272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373"/>
      <c r="AD52" s="374"/>
      <c r="AE52" s="374"/>
      <c r="AF52" s="374"/>
      <c r="AG52" s="374"/>
      <c r="AH52" s="374"/>
      <c r="AI52" s="374"/>
      <c r="AJ52" s="374"/>
      <c r="AK52" s="374"/>
      <c r="AL52" s="373"/>
      <c r="AM52" s="373"/>
      <c r="AN52" s="373"/>
      <c r="AO52" s="373"/>
      <c r="AP52" s="373"/>
    </row>
    <row r="53" customFormat="false" ht="12.75" hidden="false" customHeight="false" outlineLevel="0" collapsed="false">
      <c r="A53" s="251"/>
      <c r="B53" s="115"/>
      <c r="C53" s="115"/>
      <c r="D53" s="115"/>
      <c r="E53" s="115"/>
      <c r="F53" s="115"/>
      <c r="G53" s="379"/>
      <c r="H53" s="379"/>
      <c r="I53" s="379"/>
      <c r="J53" s="379"/>
      <c r="K53" s="379"/>
      <c r="L53" s="242"/>
      <c r="M53" s="160"/>
      <c r="N53" s="160"/>
      <c r="O53" s="160"/>
      <c r="P53" s="272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373"/>
      <c r="AD53" s="373"/>
      <c r="AE53" s="373"/>
      <c r="AF53" s="373"/>
      <c r="AG53" s="373"/>
      <c r="AH53" s="373"/>
      <c r="AI53" s="373"/>
      <c r="AJ53" s="373"/>
      <c r="AK53" s="373"/>
      <c r="AL53" s="373"/>
      <c r="AM53" s="373"/>
      <c r="AN53" s="373"/>
      <c r="AO53" s="373"/>
      <c r="AP53" s="373"/>
    </row>
    <row r="54" customFormat="false" ht="18" hidden="false" customHeight="false" outlineLevel="0" collapsed="false">
      <c r="A54" s="380" t="s">
        <v>205</v>
      </c>
      <c r="B54" s="84"/>
      <c r="C54" s="84"/>
      <c r="D54" s="84"/>
      <c r="E54" s="84"/>
      <c r="F54" s="84"/>
      <c r="G54" s="184"/>
      <c r="H54" s="184"/>
      <c r="I54" s="184"/>
      <c r="J54" s="184"/>
      <c r="K54" s="184"/>
      <c r="L54" s="69"/>
      <c r="M54" s="131"/>
      <c r="N54" s="131"/>
      <c r="O54" s="160"/>
      <c r="P54" s="272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373"/>
      <c r="AD54" s="373"/>
      <c r="AE54" s="373"/>
      <c r="AF54" s="373"/>
      <c r="AG54" s="373"/>
      <c r="AH54" s="373"/>
      <c r="AI54" s="373"/>
      <c r="AJ54" s="373"/>
      <c r="AK54" s="373"/>
      <c r="AL54" s="373"/>
      <c r="AM54" s="373"/>
      <c r="AN54" s="373"/>
      <c r="AO54" s="373"/>
      <c r="AP54" s="373"/>
    </row>
    <row r="55" customFormat="false" ht="12.75" hidden="false" customHeight="false" outlineLevel="0" collapsed="false">
      <c r="A55" s="251"/>
      <c r="B55" s="115"/>
      <c r="C55" s="115"/>
      <c r="D55" s="115"/>
      <c r="E55" s="115"/>
      <c r="F55" s="115"/>
      <c r="G55" s="379"/>
      <c r="H55" s="379"/>
      <c r="I55" s="379"/>
      <c r="J55" s="379"/>
      <c r="K55" s="379"/>
      <c r="L55" s="242"/>
      <c r="M55" s="160"/>
      <c r="N55" s="160"/>
      <c r="O55" s="160"/>
      <c r="P55" s="272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373"/>
      <c r="AD55" s="373"/>
      <c r="AE55" s="373"/>
      <c r="AF55" s="373"/>
      <c r="AG55" s="373"/>
      <c r="AH55" s="373"/>
      <c r="AI55" s="373"/>
      <c r="AJ55" s="373"/>
      <c r="AK55" s="373"/>
      <c r="AL55" s="373"/>
      <c r="AM55" s="373"/>
      <c r="AN55" s="373"/>
      <c r="AO55" s="373"/>
      <c r="AP55" s="373"/>
    </row>
    <row r="56" customFormat="false" ht="15.75" hidden="false" customHeight="false" outlineLevel="0" collapsed="false">
      <c r="A56" s="381" t="s">
        <v>206</v>
      </c>
      <c r="B56" s="382"/>
      <c r="C56" s="382"/>
      <c r="D56" s="382"/>
      <c r="E56" s="306" t="s">
        <v>192</v>
      </c>
      <c r="F56" s="307"/>
      <c r="G56" s="295"/>
      <c r="H56" s="295"/>
      <c r="I56" s="176"/>
      <c r="J56" s="295"/>
      <c r="K56" s="176"/>
      <c r="L56" s="176"/>
      <c r="M56" s="176"/>
      <c r="N56" s="176"/>
      <c r="O56" s="160"/>
      <c r="P56" s="272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373"/>
      <c r="AD56" s="373"/>
      <c r="AE56" s="373"/>
      <c r="AF56" s="373"/>
      <c r="AG56" s="373"/>
      <c r="AH56" s="373"/>
      <c r="AI56" s="373"/>
      <c r="AJ56" s="373"/>
      <c r="AK56" s="373"/>
      <c r="AL56" s="373"/>
      <c r="AM56" s="373"/>
      <c r="AN56" s="373"/>
      <c r="AO56" s="373"/>
      <c r="AP56" s="373"/>
    </row>
    <row r="57" customFormat="false" ht="15.75" hidden="false" customHeight="false" outlineLevel="0" collapsed="false">
      <c r="A57" s="383" t="s">
        <v>207</v>
      </c>
      <c r="B57" s="384"/>
      <c r="C57" s="384"/>
      <c r="D57" s="384"/>
      <c r="E57" s="385" t="n">
        <v>2001</v>
      </c>
      <c r="F57" s="386" t="n">
        <v>2002</v>
      </c>
      <c r="G57" s="386" t="n">
        <v>2003</v>
      </c>
      <c r="H57" s="386" t="n">
        <v>2004</v>
      </c>
      <c r="I57" s="386" t="n">
        <v>2005</v>
      </c>
      <c r="J57" s="386" t="n">
        <v>2006</v>
      </c>
      <c r="K57" s="387" t="n">
        <v>2007</v>
      </c>
      <c r="L57" s="387" t="n">
        <v>2008</v>
      </c>
      <c r="M57" s="387" t="n">
        <v>2009</v>
      </c>
      <c r="N57" s="388" t="n">
        <v>2010</v>
      </c>
      <c r="O57" s="160"/>
      <c r="P57" s="389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373"/>
      <c r="AD57" s="373"/>
      <c r="AE57" s="373"/>
      <c r="AF57" s="373"/>
      <c r="AG57" s="373"/>
      <c r="AH57" s="373"/>
      <c r="AI57" s="373"/>
      <c r="AJ57" s="373"/>
      <c r="AK57" s="373"/>
      <c r="AL57" s="373"/>
      <c r="AM57" s="373"/>
      <c r="AN57" s="373"/>
      <c r="AO57" s="373"/>
      <c r="AP57" s="373"/>
    </row>
    <row r="58" customFormat="false" ht="15.75" hidden="false" customHeight="false" outlineLevel="0" collapsed="false">
      <c r="A58" s="390"/>
      <c r="B58" s="115"/>
      <c r="C58" s="115"/>
      <c r="D58" s="391" t="s">
        <v>193</v>
      </c>
      <c r="E58" s="392" t="n">
        <v>1</v>
      </c>
      <c r="F58" s="393" t="n">
        <v>2</v>
      </c>
      <c r="G58" s="393" t="n">
        <v>3</v>
      </c>
      <c r="H58" s="393" t="n">
        <v>4</v>
      </c>
      <c r="I58" s="393" t="n">
        <v>5</v>
      </c>
      <c r="J58" s="393" t="n">
        <v>6</v>
      </c>
      <c r="K58" s="393" t="n">
        <v>7</v>
      </c>
      <c r="L58" s="393" t="n">
        <v>8</v>
      </c>
      <c r="M58" s="393" t="n">
        <v>9</v>
      </c>
      <c r="N58" s="393" t="n">
        <v>10</v>
      </c>
      <c r="O58" s="160"/>
      <c r="P58" s="389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373"/>
      <c r="AD58" s="373"/>
      <c r="AE58" s="373"/>
      <c r="AF58" s="373"/>
      <c r="AG58" s="373"/>
      <c r="AH58" s="373"/>
      <c r="AI58" s="373"/>
      <c r="AJ58" s="373"/>
      <c r="AK58" s="373"/>
      <c r="AL58" s="373"/>
      <c r="AM58" s="373"/>
      <c r="AN58" s="373"/>
      <c r="AO58" s="373"/>
      <c r="AP58" s="373"/>
    </row>
    <row r="59" customFormat="false" ht="12.75" hidden="false" customHeight="false" outlineLevel="0" collapsed="false">
      <c r="A59" s="394" t="str">
        <f aca="false">A7</f>
        <v>Senior Tranche A (US$)</v>
      </c>
      <c r="B59" s="251"/>
      <c r="C59" s="251"/>
      <c r="D59" s="251"/>
      <c r="E59" s="395" t="n">
        <f aca="false">IF('Fin Stats and Ratios'!$F$15=E58,Debt!$F$7,0)</f>
        <v>0</v>
      </c>
      <c r="F59" s="395" t="n">
        <f aca="false">IF('Fin Stats and Ratios'!$F$15=F58,Debt!$F$7,0)</f>
        <v>0</v>
      </c>
      <c r="G59" s="395" t="n">
        <f aca="false">IF('Fin Stats and Ratios'!$F$15=G58,Debt!$F$7,0)</f>
        <v>0</v>
      </c>
      <c r="H59" s="395" t="n">
        <f aca="false">IF('Fin Stats and Ratios'!$F$15=H58,Debt!$F$7,0)</f>
        <v>0</v>
      </c>
      <c r="I59" s="395" t="n">
        <f aca="false">IF('Fin Stats and Ratios'!$F$15=I58,Debt!$F$7,0)</f>
        <v>0</v>
      </c>
      <c r="J59" s="395" t="n">
        <f aca="false">IF('Fin Stats and Ratios'!$F$15=J58,Debt!$F$7,0)</f>
        <v>0</v>
      </c>
      <c r="K59" s="395" t="n">
        <f aca="false">IF('Fin Stats and Ratios'!$F$15=K58,Debt!$F$7,0)</f>
        <v>0</v>
      </c>
      <c r="L59" s="395" t="n">
        <f aca="false">IF('Fin Stats and Ratios'!$F$15=L58,Debt!$F$7,0)</f>
        <v>0</v>
      </c>
      <c r="M59" s="395" t="n">
        <f aca="false">IF('Fin Stats and Ratios'!$F$15=M58,Debt!$F$7,0)</f>
        <v>0</v>
      </c>
      <c r="N59" s="395" t="n">
        <f aca="false">IF('Fin Stats and Ratios'!$F$15=N58,Debt!$F$7,0)</f>
        <v>1452784.850941</v>
      </c>
      <c r="O59" s="160"/>
      <c r="P59" s="233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369"/>
      <c r="AD59" s="369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69"/>
      <c r="AP59" s="369"/>
    </row>
    <row r="60" customFormat="false" ht="12.75" hidden="false" customHeight="false" outlineLevel="0" collapsed="false">
      <c r="A60" s="394" t="str">
        <f aca="false">A8</f>
        <v>Senior Tranche B (US$)</v>
      </c>
      <c r="B60" s="251"/>
      <c r="C60" s="251"/>
      <c r="D60" s="251"/>
      <c r="E60" s="395" t="n">
        <f aca="false">IF('Fin Stats and Ratios'!$F$16=E58,Debt!$F$8,0)</f>
        <v>0</v>
      </c>
      <c r="F60" s="395" t="n">
        <f aca="false">IF('Fin Stats and Ratios'!$F$16=F58,Debt!$F$8,0)</f>
        <v>0</v>
      </c>
      <c r="G60" s="395" t="n">
        <f aca="false">IF('Fin Stats and Ratios'!$F$16=G58,Debt!$F$8,0)</f>
        <v>0</v>
      </c>
      <c r="H60" s="395" t="n">
        <f aca="false">IF('Fin Stats and Ratios'!$F$16=H58,Debt!$F$8,0)</f>
        <v>0</v>
      </c>
      <c r="I60" s="395" t="n">
        <f aca="false">IF('Fin Stats and Ratios'!$F$16=I58,Debt!$F$8,0)</f>
        <v>0</v>
      </c>
      <c r="J60" s="395" t="n">
        <f aca="false">IF('Fin Stats and Ratios'!$F$16=J58,Debt!$F$8,0)</f>
        <v>0</v>
      </c>
      <c r="K60" s="395" t="n">
        <f aca="false">IF('Fin Stats and Ratios'!$F$16=K58,Debt!$F$8,0)</f>
        <v>0</v>
      </c>
      <c r="L60" s="395" t="n">
        <f aca="false">IF('Fin Stats and Ratios'!$F$16=L58,Debt!$F$8,0)</f>
        <v>0</v>
      </c>
      <c r="M60" s="395" t="n">
        <f aca="false">IF('Fin Stats and Ratios'!$F$16=M58,Debt!$F$8,0)</f>
        <v>0</v>
      </c>
      <c r="N60" s="395" t="n">
        <f aca="false">IF('Fin Stats and Ratios'!$F$16=N58,Debt!$F$8,0)</f>
        <v>0</v>
      </c>
      <c r="O60" s="160"/>
      <c r="P60" s="233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369"/>
      <c r="AD60" s="369"/>
      <c r="AE60" s="369"/>
      <c r="AF60" s="369"/>
      <c r="AG60" s="369"/>
      <c r="AH60" s="369"/>
      <c r="AI60" s="369"/>
      <c r="AJ60" s="369"/>
      <c r="AK60" s="369"/>
      <c r="AL60" s="369"/>
      <c r="AM60" s="369"/>
      <c r="AN60" s="369"/>
      <c r="AO60" s="369"/>
      <c r="AP60" s="369"/>
    </row>
    <row r="61" customFormat="false" ht="12.75" hidden="false" customHeight="false" outlineLevel="0" collapsed="false">
      <c r="A61" s="396" t="str">
        <f aca="false">A9</f>
        <v>Junior Debt (US$)</v>
      </c>
      <c r="B61" s="397"/>
      <c r="C61" s="397"/>
      <c r="D61" s="397"/>
      <c r="E61" s="398" t="n">
        <f aca="false">IF('Fin Stats and Ratios'!$F$17=E58,Debt!$F$9,0)</f>
        <v>0</v>
      </c>
      <c r="F61" s="398" t="n">
        <f aca="false">IF('Fin Stats and Ratios'!$F$17=F58,Debt!$F$9,0)</f>
        <v>0</v>
      </c>
      <c r="G61" s="398" t="n">
        <f aca="false">IF('Fin Stats and Ratios'!$F$17=G58,Debt!$F$9,0)</f>
        <v>0</v>
      </c>
      <c r="H61" s="398" t="n">
        <f aca="false">IF('Fin Stats and Ratios'!$F$17=H58,Debt!$F$9,0)</f>
        <v>0</v>
      </c>
      <c r="I61" s="398" t="n">
        <f aca="false">IF('Fin Stats and Ratios'!$F$17=I58,Debt!$F$9,0)</f>
        <v>0</v>
      </c>
      <c r="J61" s="398" t="n">
        <f aca="false">IF('Fin Stats and Ratios'!$F$17=J58,Debt!$F$9,0)</f>
        <v>0</v>
      </c>
      <c r="K61" s="398" t="n">
        <f aca="false">IF('Fin Stats and Ratios'!$F$17=K58,Debt!$F$9,0)</f>
        <v>0</v>
      </c>
      <c r="L61" s="398" t="n">
        <f aca="false">IF('Fin Stats and Ratios'!$F$17=L58,Debt!$F$9,0)</f>
        <v>0</v>
      </c>
      <c r="M61" s="398" t="n">
        <f aca="false">IF('Fin Stats and Ratios'!$F$17=M58,Debt!$F$9,0)</f>
        <v>0</v>
      </c>
      <c r="N61" s="398" t="n">
        <f aca="false">IF('Fin Stats and Ratios'!$F$17=N58,Debt!$F$9,0)</f>
        <v>0</v>
      </c>
      <c r="O61" s="160"/>
      <c r="P61" s="233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</row>
    <row r="62" customFormat="false" ht="12.75" hidden="false" customHeight="false" outlineLevel="0" collapsed="false">
      <c r="A62" s="242"/>
      <c r="B62" s="242"/>
      <c r="C62" s="242"/>
      <c r="D62" s="242"/>
      <c r="E62" s="242"/>
      <c r="F62" s="242"/>
      <c r="G62" s="399"/>
      <c r="H62" s="399"/>
      <c r="I62" s="399"/>
      <c r="J62" s="399"/>
      <c r="K62" s="399"/>
      <c r="L62" s="242"/>
      <c r="M62" s="160"/>
      <c r="N62" s="160"/>
      <c r="O62" s="160"/>
      <c r="P62" s="399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</row>
    <row r="63" customFormat="false" ht="15.75" hidden="false" customHeight="false" outlineLevel="0" collapsed="false">
      <c r="A63" s="400" t="s">
        <v>208</v>
      </c>
      <c r="B63" s="242"/>
      <c r="C63" s="242"/>
      <c r="D63" s="242"/>
      <c r="E63" s="306" t="s">
        <v>192</v>
      </c>
      <c r="F63" s="307"/>
      <c r="G63" s="295"/>
      <c r="H63" s="295"/>
      <c r="I63" s="176"/>
      <c r="J63" s="295"/>
      <c r="K63" s="176"/>
      <c r="L63" s="176"/>
      <c r="M63" s="176"/>
      <c r="N63" s="176"/>
      <c r="O63" s="160"/>
      <c r="P63" s="401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</row>
    <row r="64" customFormat="false" ht="15.75" hidden="false" customHeight="false" outlineLevel="0" collapsed="false">
      <c r="A64" s="402" t="s">
        <v>209</v>
      </c>
      <c r="B64" s="403"/>
      <c r="C64" s="403"/>
      <c r="D64" s="403"/>
      <c r="E64" s="308" t="n">
        <v>2001</v>
      </c>
      <c r="F64" s="309" t="n">
        <v>2002</v>
      </c>
      <c r="G64" s="309" t="n">
        <v>2003</v>
      </c>
      <c r="H64" s="309" t="n">
        <v>2004</v>
      </c>
      <c r="I64" s="309" t="n">
        <v>2005</v>
      </c>
      <c r="J64" s="309" t="n">
        <v>2006</v>
      </c>
      <c r="K64" s="310" t="n">
        <v>2007</v>
      </c>
      <c r="L64" s="310" t="n">
        <v>2008</v>
      </c>
      <c r="M64" s="310" t="n">
        <v>2009</v>
      </c>
      <c r="N64" s="310" t="n">
        <v>2010</v>
      </c>
      <c r="O64" s="160"/>
      <c r="P64" s="233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</row>
    <row r="65" customFormat="false" ht="15.75" hidden="false" customHeight="false" outlineLevel="0" collapsed="false">
      <c r="A65" s="400"/>
      <c r="B65" s="242"/>
      <c r="C65" s="242"/>
      <c r="D65" s="391" t="s">
        <v>210</v>
      </c>
      <c r="E65" s="392" t="n">
        <v>1</v>
      </c>
      <c r="F65" s="393" t="n">
        <v>2</v>
      </c>
      <c r="G65" s="393" t="n">
        <v>3</v>
      </c>
      <c r="H65" s="393" t="n">
        <v>4</v>
      </c>
      <c r="I65" s="393" t="n">
        <v>5</v>
      </c>
      <c r="J65" s="393" t="n">
        <v>6</v>
      </c>
      <c r="K65" s="404" t="n">
        <v>7</v>
      </c>
      <c r="L65" s="404" t="n">
        <v>8</v>
      </c>
      <c r="M65" s="404" t="n">
        <v>9</v>
      </c>
      <c r="N65" s="404" t="n">
        <v>10</v>
      </c>
      <c r="O65" s="160"/>
      <c r="P65" s="233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</row>
    <row r="66" customFormat="false" ht="12.75" hidden="false" customHeight="false" outlineLevel="0" collapsed="false">
      <c r="A66" s="405" t="str">
        <f aca="false">A7</f>
        <v>Senior Tranche A (US$)</v>
      </c>
      <c r="B66" s="403"/>
      <c r="C66" s="403"/>
      <c r="D66" s="403"/>
      <c r="E66" s="403"/>
      <c r="F66" s="403"/>
      <c r="G66" s="403"/>
      <c r="H66" s="403"/>
      <c r="I66" s="403"/>
      <c r="J66" s="403"/>
      <c r="K66" s="406"/>
      <c r="L66" s="406"/>
      <c r="M66" s="406"/>
      <c r="N66" s="406"/>
      <c r="O66" s="401"/>
      <c r="P66" s="401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</row>
    <row r="67" customFormat="false" ht="12.75" hidden="false" customHeight="false" outlineLevel="0" collapsed="false">
      <c r="A67" s="407" t="s">
        <v>211</v>
      </c>
      <c r="B67" s="242"/>
      <c r="C67" s="242"/>
      <c r="D67" s="242"/>
      <c r="E67" s="408" t="n">
        <f aca="false">$F$7</f>
        <v>1452784.850941</v>
      </c>
      <c r="F67" s="408" t="n">
        <f aca="false">E69</f>
        <v>1307506.3658469</v>
      </c>
      <c r="G67" s="408" t="n">
        <f aca="false">F69</f>
        <v>1162227.8807528</v>
      </c>
      <c r="H67" s="408" t="n">
        <f aca="false">G69</f>
        <v>1016949.3956587</v>
      </c>
      <c r="I67" s="408" t="n">
        <f aca="false">H69</f>
        <v>871670.910564599</v>
      </c>
      <c r="J67" s="408" t="n">
        <f aca="false">I69</f>
        <v>726392.4254705</v>
      </c>
      <c r="K67" s="408" t="n">
        <f aca="false">J69</f>
        <v>581113.9403764</v>
      </c>
      <c r="L67" s="408" t="n">
        <f aca="false">K69</f>
        <v>435835.4552823</v>
      </c>
      <c r="M67" s="408" t="n">
        <f aca="false">L69</f>
        <v>290556.9701882</v>
      </c>
      <c r="N67" s="408" t="n">
        <f aca="false">M69</f>
        <v>145278.4850941</v>
      </c>
      <c r="O67" s="401"/>
      <c r="P67" s="401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</row>
    <row r="68" customFormat="false" ht="12.75" hidden="false" customHeight="false" outlineLevel="0" collapsed="false">
      <c r="A68" s="407" t="s">
        <v>212</v>
      </c>
      <c r="B68" s="242"/>
      <c r="C68" s="242"/>
      <c r="D68" s="242"/>
      <c r="E68" s="278" t="n">
        <f aca="false">IF(E67&gt;=($F$7*$J$7)/$H$7,IF(E61&lt;$H$7,($F$7*$J$7)/$H$7,IF(E61&gt;=$H$7,E67,0)))</f>
        <v>145278.4850941</v>
      </c>
      <c r="F68" s="278" t="n">
        <f aca="false">IF(F67&gt;=($F$7*$J$7)/$H$7,IF(F61&lt;$H$7,($F$7*$J$7)/$H$7,IF(F61&gt;=$H$7,F67,0)))</f>
        <v>145278.4850941</v>
      </c>
      <c r="G68" s="278" t="n">
        <f aca="false">IF(G67&gt;=($F$7*$J$7)/$H$7,IF(G61&lt;$H$7,($F$7*$J$7)/$H$7,IF(G61&gt;=$H$7,G67,0)))</f>
        <v>145278.4850941</v>
      </c>
      <c r="H68" s="278" t="n">
        <f aca="false">IF(H67&gt;=($F$7*$J$7)/$H$7,IF(H61&lt;$H$7,($F$7*$J$7)/$H$7,IF(H61&gt;=$H$7,H67,0)))</f>
        <v>145278.4850941</v>
      </c>
      <c r="I68" s="278" t="n">
        <f aca="false">IF(I67&gt;=($F$7*$J$7)/$H$7,IF(I61&lt;$H$7,($F$7*$J$7)/$H$7,IF(I61&gt;=$H$7,I67,0)))</f>
        <v>145278.4850941</v>
      </c>
      <c r="J68" s="278" t="n">
        <f aca="false">IF(J67&gt;=($F$7*$J$7)/$H$7,IF(J61&lt;$H$7,($F$7*$J$7)/$H$7,IF(J61&gt;=$H$7,J67,0)))</f>
        <v>145278.4850941</v>
      </c>
      <c r="K68" s="278" t="n">
        <f aca="false">IF(K67&gt;=($F$7*$J$7)/$H$7,IF(K61&lt;$H$7,($F$7*$J$7)/$H$7,IF(K61&gt;=$H$7,K67,0)))</f>
        <v>145278.4850941</v>
      </c>
      <c r="L68" s="278" t="n">
        <f aca="false">IF(L67&gt;=($F$7*$J$7)/$H$7,IF(L61&lt;$H$7,($F$7*$J$7)/$H$7,IF(L61&gt;=$H$7,L67,0)))</f>
        <v>145278.4850941</v>
      </c>
      <c r="M68" s="278" t="n">
        <f aca="false">IF(M67&gt;=($F$7*$J$7)/$H$7,IF(M61&lt;$H$7,($F$7*$J$7)/$H$7,IF(M61&gt;=$H$7,M67,0)))</f>
        <v>145278.4850941</v>
      </c>
      <c r="N68" s="278" t="n">
        <f aca="false">IF(N67&gt;=($F$7*$J$7)/$H$7,IF(N61&lt;$H$7,($F$7*$J$7)/$H$7,IF(N61&gt;=$H$7,N67,0)))</f>
        <v>145278.4850941</v>
      </c>
      <c r="O68" s="401"/>
      <c r="P68" s="401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</row>
    <row r="69" customFormat="false" ht="12.75" hidden="false" customHeight="false" outlineLevel="0" collapsed="false">
      <c r="A69" s="407" t="s">
        <v>213</v>
      </c>
      <c r="B69" s="242"/>
      <c r="C69" s="242"/>
      <c r="D69" s="242"/>
      <c r="E69" s="408" t="n">
        <f aca="false">E67-E68</f>
        <v>1307506.3658469</v>
      </c>
      <c r="F69" s="408" t="n">
        <f aca="false">F67-F68</f>
        <v>1162227.8807528</v>
      </c>
      <c r="G69" s="408" t="n">
        <f aca="false">G67-G68</f>
        <v>1016949.3956587</v>
      </c>
      <c r="H69" s="408" t="n">
        <f aca="false">H67-H68</f>
        <v>871670.910564599</v>
      </c>
      <c r="I69" s="408" t="n">
        <f aca="false">I67-I68</f>
        <v>726392.4254705</v>
      </c>
      <c r="J69" s="408" t="n">
        <f aca="false">J67-J68</f>
        <v>581113.9403764</v>
      </c>
      <c r="K69" s="408" t="n">
        <f aca="false">K67-K68</f>
        <v>435835.4552823</v>
      </c>
      <c r="L69" s="408" t="n">
        <f aca="false">L67-L68</f>
        <v>290556.9701882</v>
      </c>
      <c r="M69" s="408" t="n">
        <f aca="false">M67-M68</f>
        <v>145278.4850941</v>
      </c>
      <c r="N69" s="408" t="n">
        <f aca="false">N67-N68</f>
        <v>0</v>
      </c>
      <c r="O69" s="401"/>
      <c r="P69" s="401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</row>
    <row r="70" customFormat="false" ht="12.75" hidden="false" customHeight="false" outlineLevel="0" collapsed="false">
      <c r="A70" s="409" t="str">
        <f aca="false">A8</f>
        <v>Senior Tranche B (US$)</v>
      </c>
      <c r="B70" s="410"/>
      <c r="C70" s="410"/>
      <c r="D70" s="410"/>
      <c r="E70" s="410"/>
      <c r="F70" s="410"/>
      <c r="G70" s="410"/>
      <c r="H70" s="410"/>
      <c r="I70" s="410"/>
      <c r="J70" s="410"/>
      <c r="K70" s="406"/>
      <c r="L70" s="406"/>
      <c r="M70" s="406"/>
      <c r="N70" s="406"/>
      <c r="O70" s="401"/>
      <c r="P70" s="401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</row>
    <row r="71" customFormat="false" ht="12.75" hidden="false" customHeight="false" outlineLevel="0" collapsed="false">
      <c r="A71" s="407" t="s">
        <v>211</v>
      </c>
      <c r="B71" s="242"/>
      <c r="C71" s="242"/>
      <c r="D71" s="242"/>
      <c r="E71" s="408" t="n">
        <f aca="false">$F$8</f>
        <v>0</v>
      </c>
      <c r="F71" s="408" t="n">
        <f aca="false">E73</f>
        <v>0</v>
      </c>
      <c r="G71" s="408" t="n">
        <f aca="false">F73</f>
        <v>0</v>
      </c>
      <c r="H71" s="408" t="n">
        <f aca="false">G73</f>
        <v>0</v>
      </c>
      <c r="I71" s="408" t="n">
        <f aca="false">H73</f>
        <v>0</v>
      </c>
      <c r="J71" s="408" t="n">
        <f aca="false">I73</f>
        <v>0</v>
      </c>
      <c r="K71" s="408" t="n">
        <f aca="false">J73</f>
        <v>0</v>
      </c>
      <c r="L71" s="408" t="n">
        <f aca="false">K73</f>
        <v>0</v>
      </c>
      <c r="M71" s="408" t="n">
        <f aca="false">L73</f>
        <v>0</v>
      </c>
      <c r="N71" s="408" t="n">
        <f aca="false">M73</f>
        <v>0</v>
      </c>
      <c r="O71" s="401"/>
      <c r="P71" s="401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</row>
    <row r="72" customFormat="false" ht="12.75" hidden="false" customHeight="false" outlineLevel="0" collapsed="false">
      <c r="A72" s="407" t="s">
        <v>212</v>
      </c>
      <c r="B72" s="242"/>
      <c r="C72" s="242"/>
      <c r="D72" s="242"/>
      <c r="E72" s="278" t="n">
        <f aca="false">IF(E71&gt;=($F$8*$J$8)/$H$8,IF(E$65&lt;$H$8,($F$8*$J$8)/$H$8,IF(E$65&gt;=$H$8,E71,0)))</f>
        <v>0</v>
      </c>
      <c r="F72" s="278" t="n">
        <f aca="false">IF(F71&gt;=($F$8*$J$8)/$H$8,IF(F65&lt;$H$8,($F$8*$J$8)/$H$8,IF(F65&gt;=$H$8,F71,0)))</f>
        <v>0</v>
      </c>
      <c r="G72" s="278" t="n">
        <f aca="false">IF(G71&gt;=($F$8*$J$8)/$H$8,IF(G65&lt;$H$8,($F$8*$J$8)/$H$8,IF(G65&gt;=$H$8,G71,0)))</f>
        <v>0</v>
      </c>
      <c r="H72" s="278" t="n">
        <f aca="false">IF(H71&gt;=($F$8*$J$8)/$H$8,IF(H65&lt;$H$8,($F$8*$J$8)/$H$8,IF(H65&gt;=$H$8,H71,0)))</f>
        <v>0</v>
      </c>
      <c r="I72" s="278" t="n">
        <f aca="false">IF(I71&gt;=($F$8*$J$8)/$H$8,IF(I65&lt;$H$8,($F$8*$J$8)/$H$8,IF(I65&gt;=$H$8,I71,0)))</f>
        <v>0</v>
      </c>
      <c r="J72" s="278" t="n">
        <f aca="false">IF(J71&gt;=($F$8*$J$8)/$H$8,IF(J65&lt;$H$8,($F$8*$J$8)/$H$8,IF(J65&gt;=$H$8,J71,0)))</f>
        <v>0</v>
      </c>
      <c r="K72" s="278" t="n">
        <f aca="false">IF(K71&gt;=($F$8*$J$8)/$H$8,IF(K65&lt;$H$8,($F$8*$J$8)/$H$8,IF(K65&gt;=$H$8,K71,0)))</f>
        <v>0</v>
      </c>
      <c r="L72" s="278" t="n">
        <f aca="false">IF(L71&gt;=($F$8*$J$8)/$H$8,IF(L65&lt;$H$8,($F$8*$J$8)/$H$8,IF(L65&gt;=$H$8,L71,0)))</f>
        <v>0</v>
      </c>
      <c r="M72" s="278" t="n">
        <f aca="false">IF(M71&gt;=(($F$8*$J$8)/$H$8),IF(M65&lt;$H$8,(($F$8*$J$8)/$H$8),IF(M65&gt;=$H$8,M71,0)))</f>
        <v>0</v>
      </c>
      <c r="N72" s="278" t="n">
        <f aca="false">IF(N71&gt;=($F$8*$J$8)/$H$8,IF(N65&lt;$H$8,($F$8*$J$8)/$H$8,IF(N65&gt;=$H$8,N71,0)))</f>
        <v>0</v>
      </c>
      <c r="O72" s="401"/>
      <c r="P72" s="401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</row>
    <row r="73" customFormat="false" ht="12.75" hidden="false" customHeight="false" outlineLevel="0" collapsed="false">
      <c r="A73" s="407" t="s">
        <v>213</v>
      </c>
      <c r="B73" s="242"/>
      <c r="C73" s="242"/>
      <c r="D73" s="242"/>
      <c r="E73" s="408" t="n">
        <f aca="false">E71-E72</f>
        <v>0</v>
      </c>
      <c r="F73" s="408" t="n">
        <f aca="false">F71-F72</f>
        <v>0</v>
      </c>
      <c r="G73" s="408" t="n">
        <f aca="false">G71-G72</f>
        <v>0</v>
      </c>
      <c r="H73" s="408" t="n">
        <f aca="false">H71-H72</f>
        <v>0</v>
      </c>
      <c r="I73" s="408" t="n">
        <f aca="false">I71-I72</f>
        <v>0</v>
      </c>
      <c r="J73" s="408" t="n">
        <f aca="false">J71-J72</f>
        <v>0</v>
      </c>
      <c r="K73" s="408" t="n">
        <f aca="false">K71-K72</f>
        <v>0</v>
      </c>
      <c r="L73" s="408" t="n">
        <f aca="false">L71-L72</f>
        <v>0</v>
      </c>
      <c r="M73" s="408" t="n">
        <f aca="false">M71-M72</f>
        <v>0</v>
      </c>
      <c r="N73" s="408" t="n">
        <f aca="false">N71-N72</f>
        <v>0</v>
      </c>
      <c r="O73" s="401"/>
      <c r="P73" s="401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</row>
    <row r="74" customFormat="false" ht="12.75" hidden="false" customHeight="false" outlineLevel="0" collapsed="false">
      <c r="A74" s="409" t="str">
        <f aca="false">A9</f>
        <v>Junior Debt (US$)</v>
      </c>
      <c r="B74" s="410"/>
      <c r="C74" s="410"/>
      <c r="D74" s="410"/>
      <c r="E74" s="410"/>
      <c r="F74" s="410"/>
      <c r="G74" s="410"/>
      <c r="H74" s="410"/>
      <c r="I74" s="410"/>
      <c r="J74" s="410"/>
      <c r="K74" s="411"/>
      <c r="L74" s="411"/>
      <c r="M74" s="411"/>
      <c r="N74" s="411"/>
      <c r="O74" s="233"/>
      <c r="P74" s="233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</row>
    <row r="75" customFormat="false" ht="12.75" hidden="false" customHeight="false" outlineLevel="0" collapsed="false">
      <c r="A75" s="407" t="s">
        <v>211</v>
      </c>
      <c r="B75" s="242"/>
      <c r="C75" s="242"/>
      <c r="D75" s="242"/>
      <c r="E75" s="408" t="n">
        <f aca="false">$F$8</f>
        <v>0</v>
      </c>
      <c r="F75" s="408" t="n">
        <f aca="false">E77</f>
        <v>0</v>
      </c>
      <c r="G75" s="408" t="n">
        <f aca="false">F77</f>
        <v>0</v>
      </c>
      <c r="H75" s="408" t="n">
        <f aca="false">G77</f>
        <v>0</v>
      </c>
      <c r="I75" s="408" t="n">
        <f aca="false">H77</f>
        <v>0</v>
      </c>
      <c r="J75" s="408" t="n">
        <f aca="false">I77</f>
        <v>0</v>
      </c>
      <c r="K75" s="408" t="n">
        <f aca="false">J77</f>
        <v>0</v>
      </c>
      <c r="L75" s="408" t="n">
        <f aca="false">K77</f>
        <v>0</v>
      </c>
      <c r="M75" s="408" t="n">
        <f aca="false">L77</f>
        <v>0</v>
      </c>
      <c r="N75" s="408" t="n">
        <f aca="false">M77</f>
        <v>0</v>
      </c>
      <c r="O75" s="160"/>
      <c r="P75" s="16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</row>
    <row r="76" customFormat="false" ht="12.75" hidden="false" customHeight="false" outlineLevel="0" collapsed="false">
      <c r="A76" s="407" t="s">
        <v>212</v>
      </c>
      <c r="B76" s="242"/>
      <c r="C76" s="242"/>
      <c r="D76" s="242"/>
      <c r="E76" s="278" t="n">
        <f aca="false">IF(E75&gt;=($F$9*$J$9)/$H$9,IF(E$65&lt;$H$9,($F$9*$J$9)/$H$9,IF(E$65&gt;=$H$9,E75,0)))</f>
        <v>0</v>
      </c>
      <c r="F76" s="278" t="n">
        <f aca="false">IF(F75&gt;=($F$9*$J$9)/$H$9,IF(F$65&lt;$H$9,($F$9*$J$9)/$H$9,IF(F$65&gt;=$H$9,F75,0)))</f>
        <v>0</v>
      </c>
      <c r="G76" s="278" t="n">
        <f aca="false">IF(G75&gt;=($F$9*$J$9)/$H$9,IF(G$65&lt;$H$9,($F$9*$J$9)/$H$9,IF(G$65&gt;=$H$9,G75,0)))</f>
        <v>0</v>
      </c>
      <c r="H76" s="278" t="n">
        <f aca="false">IF(H75&gt;=($F$9*$J$9)/$H$9,IF(H$65&lt;$H$9,($F$9*$J$9)/$H$9,IF(H$65&gt;=$H$9,H75,0)))</f>
        <v>0</v>
      </c>
      <c r="I76" s="278" t="n">
        <f aca="false">IF(I75&gt;=($F$9*$J$9)/$H$9,IF(I$65&lt;$H$9,($F$9*$J$9)/$H$9,IF(I$65&gt;=$H$9,I75,0)))</f>
        <v>0</v>
      </c>
      <c r="J76" s="278" t="n">
        <f aca="false">IF(J75&gt;=($F$9*$J$9)/$H$9,IF(J$65&lt;$H$9,($F$9*$J$9)/$H$9,IF(J$65&gt;=$H$9,J75,0)))</f>
        <v>0</v>
      </c>
      <c r="K76" s="278" t="n">
        <f aca="false">IF(K75&gt;=($F$9*$J$9)/$H$9,IF(K$65&lt;$H$9,($F$9*$J$9)/$H$9,IF(K$65&gt;=$H$9,K75,0)))</f>
        <v>0</v>
      </c>
      <c r="L76" s="278" t="n">
        <f aca="false">IF(L75&gt;=($F$9*$J$9)/$H$9,IF(L$65&lt;$H$9,($F$9*$J$9)/$H$9,IF(L$65&gt;=$H$9,L75,0)))</f>
        <v>0</v>
      </c>
      <c r="M76" s="278" t="n">
        <f aca="false">IF(M75&gt;=($F$9*$J$9)/$H$9,IF(M$65&lt;$H$9,($F$9*$J$9)/$H$9,IF(M$65&gt;=$H$9,M75,0)))</f>
        <v>0</v>
      </c>
      <c r="N76" s="278" t="n">
        <f aca="false">IF(N75&gt;=($F$9*$J$9)/$H$9,IF(N$65&lt;$H$9,($F$9*$J$9)/$H$9,IF(N$65&gt;=$H$9,N75,0)))</f>
        <v>0</v>
      </c>
      <c r="O76" s="160"/>
      <c r="P76" s="16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</row>
    <row r="77" customFormat="false" ht="12.75" hidden="false" customHeight="false" outlineLevel="0" collapsed="false">
      <c r="A77" s="412" t="s">
        <v>213</v>
      </c>
      <c r="B77" s="397"/>
      <c r="C77" s="397"/>
      <c r="D77" s="397"/>
      <c r="E77" s="413" t="n">
        <f aca="false">E75-E76</f>
        <v>0</v>
      </c>
      <c r="F77" s="413" t="n">
        <f aca="false">F75-F76</f>
        <v>0</v>
      </c>
      <c r="G77" s="413" t="n">
        <f aca="false">G75-G76</f>
        <v>0</v>
      </c>
      <c r="H77" s="413" t="n">
        <f aca="false">H75-H76</f>
        <v>0</v>
      </c>
      <c r="I77" s="413" t="n">
        <f aca="false">I75-I76</f>
        <v>0</v>
      </c>
      <c r="J77" s="413" t="n">
        <f aca="false">J75-J76</f>
        <v>0</v>
      </c>
      <c r="K77" s="413" t="n">
        <f aca="false">K75-K76</f>
        <v>0</v>
      </c>
      <c r="L77" s="413" t="n">
        <f aca="false">L75-L76</f>
        <v>0</v>
      </c>
      <c r="M77" s="413" t="n">
        <f aca="false">M75-M76</f>
        <v>0</v>
      </c>
      <c r="N77" s="413" t="n">
        <f aca="false">N75-N76</f>
        <v>0</v>
      </c>
      <c r="O77" s="160"/>
      <c r="P77" s="16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</row>
    <row r="78" customFormat="false" ht="12.75" hidden="false" customHeight="false" outlineLevel="0" collapsed="false">
      <c r="A78" s="160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</row>
    <row r="79" customFormat="false" ht="15.75" hidden="false" customHeight="false" outlineLevel="0" collapsed="false">
      <c r="A79" s="33" t="s">
        <v>214</v>
      </c>
      <c r="B79" s="256"/>
      <c r="C79" s="256"/>
      <c r="D79" s="242"/>
      <c r="E79" s="306" t="s">
        <v>192</v>
      </c>
      <c r="F79" s="307"/>
      <c r="G79" s="295"/>
      <c r="H79" s="295"/>
      <c r="I79" s="176"/>
      <c r="J79" s="295"/>
      <c r="K79" s="176"/>
      <c r="L79" s="176"/>
      <c r="M79" s="176"/>
      <c r="N79" s="176"/>
      <c r="O79" s="256"/>
      <c r="P79" s="256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</row>
    <row r="80" customFormat="false" ht="15.75" hidden="false" customHeight="false" outlineLevel="0" collapsed="false">
      <c r="A80" s="414" t="s">
        <v>215</v>
      </c>
      <c r="B80" s="415"/>
      <c r="C80" s="415"/>
      <c r="D80" s="403"/>
      <c r="E80" s="308" t="n">
        <v>2001</v>
      </c>
      <c r="F80" s="309" t="n">
        <v>2002</v>
      </c>
      <c r="G80" s="309" t="n">
        <v>2003</v>
      </c>
      <c r="H80" s="309" t="n">
        <v>2004</v>
      </c>
      <c r="I80" s="309" t="n">
        <v>2005</v>
      </c>
      <c r="J80" s="309" t="n">
        <v>2006</v>
      </c>
      <c r="K80" s="310" t="n">
        <v>2007</v>
      </c>
      <c r="L80" s="310" t="n">
        <v>2008</v>
      </c>
      <c r="M80" s="310" t="n">
        <v>2009</v>
      </c>
      <c r="N80" s="310" t="n">
        <v>2010</v>
      </c>
      <c r="O80" s="256"/>
      <c r="P80" s="256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</row>
    <row r="81" customFormat="false" ht="12.75" hidden="false" customHeight="false" outlineLevel="0" collapsed="false">
      <c r="A81" s="256"/>
      <c r="B81" s="256"/>
      <c r="C81" s="256"/>
      <c r="D81" s="391" t="s">
        <v>210</v>
      </c>
      <c r="E81" s="392" t="n">
        <v>1</v>
      </c>
      <c r="F81" s="393" t="n">
        <v>2</v>
      </c>
      <c r="G81" s="393" t="n">
        <v>3</v>
      </c>
      <c r="H81" s="393" t="n">
        <v>4</v>
      </c>
      <c r="I81" s="393" t="n">
        <v>5</v>
      </c>
      <c r="J81" s="393" t="n">
        <v>6</v>
      </c>
      <c r="K81" s="404" t="n">
        <v>7</v>
      </c>
      <c r="L81" s="404" t="n">
        <v>8</v>
      </c>
      <c r="M81" s="404" t="n">
        <v>9</v>
      </c>
      <c r="N81" s="404" t="n">
        <v>10</v>
      </c>
      <c r="O81" s="256"/>
      <c r="P81" s="256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</row>
    <row r="82" customFormat="false" ht="12.75" hidden="false" customHeight="false" outlineLevel="0" collapsed="false">
      <c r="A82" s="409" t="str">
        <f aca="false">A7</f>
        <v>Senior Tranche A (US$)</v>
      </c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415"/>
      <c r="M82" s="415"/>
      <c r="N82" s="415"/>
      <c r="O82" s="256"/>
      <c r="P82" s="256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</row>
    <row r="83" customFormat="false" ht="12.75" hidden="false" customHeight="false" outlineLevel="0" collapsed="false">
      <c r="A83" s="407" t="s">
        <v>211</v>
      </c>
      <c r="B83" s="256"/>
      <c r="C83" s="256"/>
      <c r="D83" s="256"/>
      <c r="E83" s="408" t="n">
        <f aca="false">F7*J7</f>
        <v>1452784.850941</v>
      </c>
      <c r="F83" s="408" t="n">
        <f aca="false">E86</f>
        <v>1350093.40640161</v>
      </c>
      <c r="G83" s="408" t="n">
        <f aca="false">F86</f>
        <v>1239700.10352177</v>
      </c>
      <c r="H83" s="408" t="n">
        <f aca="false">G86</f>
        <v>1332677.61128591</v>
      </c>
      <c r="I83" s="408" t="n">
        <f aca="false">H86</f>
        <v>1432628.43213235</v>
      </c>
      <c r="J83" s="408" t="n">
        <f aca="false">I86</f>
        <v>1540075.56454228</v>
      </c>
      <c r="K83" s="408" t="n">
        <f aca="false">J86</f>
        <v>1655581.23188295</v>
      </c>
      <c r="L83" s="408" t="n">
        <f aca="false">K86</f>
        <v>1779749.82427417</v>
      </c>
      <c r="M83" s="408" t="n">
        <f aca="false">L86</f>
        <v>1913231.06109473</v>
      </c>
      <c r="N83" s="408" t="n">
        <f aca="false">M86</f>
        <v>2056723.39067684</v>
      </c>
      <c r="O83" s="256"/>
      <c r="P83" s="256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</row>
    <row r="84" customFormat="false" ht="12.75" hidden="false" customHeight="false" outlineLevel="0" collapsed="false">
      <c r="A84" s="407" t="s">
        <v>216</v>
      </c>
      <c r="B84" s="256"/>
      <c r="C84" s="256"/>
      <c r="D84" s="256"/>
      <c r="E84" s="278" t="n">
        <f aca="false">-PMT($G$7,$H$7,$F$7*J7)</f>
        <v>211650.30835996</v>
      </c>
      <c r="F84" s="278" t="n">
        <f aca="false">IF(E86&lt;=0.25,0,IF(AND($H$7=F81,-PMT($G$7,$H$7,$F$7*J7)&lt;F83),-PMT($G$7,$H$7,$F$7*J7)+F83,-PMT($G$7,$H$7,$F$7*J7)))</f>
        <v>211650.30835996</v>
      </c>
      <c r="G84" s="278" t="n">
        <f aca="false">IF(F86&lt;=0.25,0,IF(AND($H$7=G81,-PMT($G$7,$H$7,$F$7*K7)&lt;G83),-PMT($G$7,$H$7,$F$7*K7)+G83,-PMT($G$7,$H$7,$F$7*K7)))</f>
        <v>0</v>
      </c>
      <c r="H84" s="278" t="n">
        <f aca="false">IF(G86&lt;=0.25,0,IF(AND($H$7=H81,-PMT($G$7,$H$7,$F$7*L7)&lt;H83),-PMT($G$7,$H$7,$F$7*L7)+H83,-PMT($G$7,$H$7,$F$7*L7)))</f>
        <v>0</v>
      </c>
      <c r="I84" s="278" t="n">
        <f aca="false">IF(H86&lt;=0.25,0,IF(AND($H$7=I81,-PMT($G$7,$H$7,$F$7*M7)&lt;I83),-PMT($G$7,$H$7,$F$7*M7)+I83,-PMT($G$7,$H$7,$F$7*M7)))</f>
        <v>0</v>
      </c>
      <c r="J84" s="278" t="n">
        <f aca="false">IF(I86&lt;=0.25,0,IF(AND($H$7=J81,-PMT($G$7,$H$7,$F$7*N7)&lt;J83),-PMT($G$7,$H$7,$F$7*N7)+J83,-PMT($G$7,$H$7,$F$7*N7)))</f>
        <v>0</v>
      </c>
      <c r="K84" s="278" t="n">
        <f aca="false">IF(J86&lt;=0.25,0,IF(AND($H$7=K81,-PMT($G$7,$H$7,$F$7*O7)&lt;K83),-PMT($G$7,$H$7,$F$7*O7)+K83,-PMT($G$7,$H$7,$F$7*O7)))</f>
        <v>0</v>
      </c>
      <c r="L84" s="278" t="n">
        <f aca="false">IF(K86&lt;=0.25,0,IF(AND($H$7=L81,-PMT($G$7,$H$7,$F$7*P7)&lt;L83),-PMT($G$7,$H$7,$F$7*P7)+L83,-PMT($G$7,$H$7,$F$7*P7)))</f>
        <v>0</v>
      </c>
      <c r="M84" s="278" t="n">
        <f aca="false">IF(L86&lt;=0.25,0,IF(AND($H$7=M81,-PMT($G$7,$H$7,$F$7*Q7)&lt;M83),-PMT($G$7,$H$7,$F$7*Q7)+M83,-PMT($G$7,$H$7,$F$7*Q7)))</f>
        <v>0</v>
      </c>
      <c r="N84" s="278" t="n">
        <f aca="false">IF(M86&lt;=0.25,0,IF(AND($H$7=N81,-PMT($G$7,$H$7,$F$7*R7)&lt;N83),-PMT($G$7,$H$7,$F$7*R7)+N83,-PMT($G$7,$H$7,$F$7*R7)))</f>
        <v>2056723.39067684</v>
      </c>
      <c r="O84" s="256"/>
      <c r="P84" s="256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</row>
    <row r="85" customFormat="false" ht="12.75" hidden="false" customHeight="false" outlineLevel="0" collapsed="false">
      <c r="A85" s="407" t="s">
        <v>217</v>
      </c>
      <c r="B85" s="256"/>
      <c r="C85" s="256"/>
      <c r="D85" s="256"/>
      <c r="E85" s="408" t="n">
        <f aca="false">E83*$G$7</f>
        <v>108958.863820575</v>
      </c>
      <c r="F85" s="408" t="n">
        <f aca="false">F83*$G$7</f>
        <v>101257.005480121</v>
      </c>
      <c r="G85" s="408" t="n">
        <f aca="false">G83*$G$7</f>
        <v>92977.5077641331</v>
      </c>
      <c r="H85" s="408" t="n">
        <f aca="false">H83*$G$7</f>
        <v>99950.820846443</v>
      </c>
      <c r="I85" s="408" t="n">
        <f aca="false">I83*$G$7</f>
        <v>107447.132409926</v>
      </c>
      <c r="J85" s="408" t="n">
        <f aca="false">J83*$G$7</f>
        <v>115505.667340671</v>
      </c>
      <c r="K85" s="408" t="n">
        <f aca="false">K83*$G$7</f>
        <v>124168.592391221</v>
      </c>
      <c r="L85" s="408" t="n">
        <f aca="false">L83*$G$7</f>
        <v>133481.236820563</v>
      </c>
      <c r="M85" s="408" t="n">
        <f aca="false">M83*$G$7</f>
        <v>143492.329582105</v>
      </c>
      <c r="N85" s="408" t="n">
        <f aca="false">N83*$G$7</f>
        <v>154254.254300763</v>
      </c>
      <c r="O85" s="256"/>
      <c r="P85" s="256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</row>
    <row r="86" customFormat="false" ht="12.75" hidden="false" customHeight="false" outlineLevel="0" collapsed="false">
      <c r="A86" s="407" t="s">
        <v>218</v>
      </c>
      <c r="B86" s="256"/>
      <c r="C86" s="256"/>
      <c r="D86" s="256"/>
      <c r="E86" s="416" t="n">
        <f aca="false">E83-E84+E85</f>
        <v>1350093.40640161</v>
      </c>
      <c r="F86" s="416" t="n">
        <f aca="false">F83-F84+F85</f>
        <v>1239700.10352177</v>
      </c>
      <c r="G86" s="416" t="n">
        <f aca="false">G83-G84+G85</f>
        <v>1332677.61128591</v>
      </c>
      <c r="H86" s="416" t="n">
        <f aca="false">H83-H84+H85</f>
        <v>1432628.43213235</v>
      </c>
      <c r="I86" s="416" t="n">
        <f aca="false">I83-I84+I85</f>
        <v>1540075.56454228</v>
      </c>
      <c r="J86" s="416" t="n">
        <f aca="false">J83-J84+J85</f>
        <v>1655581.23188295</v>
      </c>
      <c r="K86" s="416" t="n">
        <f aca="false">K83-K84+K85</f>
        <v>1779749.82427417</v>
      </c>
      <c r="L86" s="416" t="n">
        <f aca="false">L83-L84+L85</f>
        <v>1913231.06109473</v>
      </c>
      <c r="M86" s="416" t="n">
        <f aca="false">M83-M84+M85</f>
        <v>2056723.39067684</v>
      </c>
      <c r="N86" s="416" t="n">
        <f aca="false">N83-N84+N85</f>
        <v>154254.254300763</v>
      </c>
      <c r="O86" s="256"/>
      <c r="P86" s="256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</row>
    <row r="87" customFormat="false" ht="12.75" hidden="false" customHeight="false" outlineLevel="0" collapsed="false">
      <c r="A87" s="409" t="str">
        <f aca="false">A8</f>
        <v>Senior Tranche B (US$)</v>
      </c>
      <c r="B87" s="415"/>
      <c r="C87" s="415"/>
      <c r="D87" s="415"/>
      <c r="E87" s="415"/>
      <c r="F87" s="415"/>
      <c r="G87" s="415"/>
      <c r="H87" s="415"/>
      <c r="I87" s="415"/>
      <c r="J87" s="415"/>
      <c r="K87" s="415"/>
      <c r="L87" s="415"/>
      <c r="M87" s="415"/>
      <c r="N87" s="415"/>
      <c r="O87" s="256"/>
      <c r="P87" s="256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</row>
    <row r="88" customFormat="false" ht="12.75" hidden="false" customHeight="false" outlineLevel="0" collapsed="false">
      <c r="A88" s="407" t="s">
        <v>211</v>
      </c>
      <c r="B88" s="256"/>
      <c r="C88" s="256"/>
      <c r="D88" s="256"/>
      <c r="E88" s="408" t="n">
        <f aca="false">F8*J7</f>
        <v>0</v>
      </c>
      <c r="F88" s="408" t="n">
        <f aca="false">E91</f>
        <v>0</v>
      </c>
      <c r="G88" s="408" t="n">
        <f aca="false">F91</f>
        <v>0</v>
      </c>
      <c r="H88" s="408" t="n">
        <f aca="false">G91</f>
        <v>0</v>
      </c>
      <c r="I88" s="408" t="n">
        <f aca="false">H91</f>
        <v>0</v>
      </c>
      <c r="J88" s="408" t="n">
        <f aca="false">I91</f>
        <v>0</v>
      </c>
      <c r="K88" s="408" t="n">
        <f aca="false">J91</f>
        <v>0</v>
      </c>
      <c r="L88" s="278" t="n">
        <f aca="false">K91</f>
        <v>0</v>
      </c>
      <c r="M88" s="278" t="n">
        <f aca="false">L91</f>
        <v>0</v>
      </c>
      <c r="N88" s="278" t="n">
        <f aca="false">M91</f>
        <v>0</v>
      </c>
      <c r="O88" s="256"/>
      <c r="P88" s="256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</row>
    <row r="89" customFormat="false" ht="12.75" hidden="false" customHeight="false" outlineLevel="0" collapsed="false">
      <c r="A89" s="407" t="s">
        <v>216</v>
      </c>
      <c r="B89" s="256"/>
      <c r="C89" s="256"/>
      <c r="D89" s="256"/>
      <c r="E89" s="278" t="n">
        <f aca="false">-PMT($G$8,$H$8,$F$8)</f>
        <v>0</v>
      </c>
      <c r="F89" s="278" t="n">
        <f aca="false">IF(E91&lt;=0.25,0,-PMT($G$8,$H$8,$F$8))</f>
        <v>0</v>
      </c>
      <c r="G89" s="278" t="n">
        <f aca="false">IF(F91&lt;=0.25,0,-PMT($G$8,$H$8,$F$8))</f>
        <v>0</v>
      </c>
      <c r="H89" s="278" t="n">
        <f aca="false">IF(G91&lt;=0.25,0,-PMT($G$8,$H$8,$F$8))</f>
        <v>0</v>
      </c>
      <c r="I89" s="278" t="n">
        <f aca="false">IF(H91&lt;=0.25,0,-PMT($G$8,$H$8,$F$8))</f>
        <v>0</v>
      </c>
      <c r="J89" s="278" t="n">
        <f aca="false">IF(I91&lt;=0.25,0,-PMT($G$8,$H$8,$F$8))</f>
        <v>0</v>
      </c>
      <c r="K89" s="278" t="n">
        <f aca="false">IF(J91&lt;=0.25,0,-PMT($G$8,$H$8,$F$8))</f>
        <v>0</v>
      </c>
      <c r="L89" s="278" t="n">
        <f aca="false">IF(K91&lt;=0.25,0,-PMT($G$8,$H$8,$F$8))</f>
        <v>0</v>
      </c>
      <c r="M89" s="278" t="n">
        <f aca="false">IF(L91&lt;=0.25,0,-PMT($G$8,$H$8,$F$8))</f>
        <v>0</v>
      </c>
      <c r="N89" s="278" t="n">
        <f aca="false">IF(M91&lt;=0.25,0,-PMT($G$8,$H$8,$F$8))</f>
        <v>0</v>
      </c>
      <c r="O89" s="256"/>
      <c r="P89" s="256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</row>
    <row r="90" customFormat="false" ht="12.75" hidden="false" customHeight="false" outlineLevel="0" collapsed="false">
      <c r="A90" s="407" t="s">
        <v>217</v>
      </c>
      <c r="B90" s="256"/>
      <c r="C90" s="256"/>
      <c r="D90" s="256"/>
      <c r="E90" s="408" t="n">
        <f aca="false">E88*$G$8</f>
        <v>0</v>
      </c>
      <c r="F90" s="408" t="n">
        <f aca="false">F88*$G$8</f>
        <v>0</v>
      </c>
      <c r="G90" s="408" t="n">
        <f aca="false">G88*$G$8</f>
        <v>0</v>
      </c>
      <c r="H90" s="408" t="n">
        <f aca="false">H88*$G$8</f>
        <v>0</v>
      </c>
      <c r="I90" s="408" t="n">
        <f aca="false">I88*$G$8</f>
        <v>0</v>
      </c>
      <c r="J90" s="408" t="n">
        <f aca="false">J88*$G$8</f>
        <v>0</v>
      </c>
      <c r="K90" s="408" t="n">
        <f aca="false">K88*$G$8</f>
        <v>0</v>
      </c>
      <c r="L90" s="278" t="n">
        <f aca="false">L88*$G$8</f>
        <v>0</v>
      </c>
      <c r="M90" s="278" t="n">
        <f aca="false">M88*$G$8</f>
        <v>0</v>
      </c>
      <c r="N90" s="278" t="n">
        <f aca="false">N88*$G$8</f>
        <v>0</v>
      </c>
      <c r="O90" s="256"/>
      <c r="P90" s="256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</row>
    <row r="91" customFormat="false" ht="12.75" hidden="false" customHeight="false" outlineLevel="0" collapsed="false">
      <c r="A91" s="407" t="s">
        <v>218</v>
      </c>
      <c r="B91" s="256"/>
      <c r="C91" s="256"/>
      <c r="D91" s="256"/>
      <c r="E91" s="416" t="n">
        <f aca="false">E88-E89+E90</f>
        <v>0</v>
      </c>
      <c r="F91" s="416" t="n">
        <f aca="false">F88-F89+F90</f>
        <v>0</v>
      </c>
      <c r="G91" s="416" t="n">
        <f aca="false">G88-G89+G90</f>
        <v>0</v>
      </c>
      <c r="H91" s="416" t="n">
        <f aca="false">H88-H89+H90</f>
        <v>0</v>
      </c>
      <c r="I91" s="416" t="n">
        <f aca="false">I88-I89+I90</f>
        <v>0</v>
      </c>
      <c r="J91" s="416" t="n">
        <f aca="false">J88-J89+J90</f>
        <v>0</v>
      </c>
      <c r="K91" s="416" t="n">
        <f aca="false">K88-K89+K90</f>
        <v>0</v>
      </c>
      <c r="L91" s="278" t="n">
        <f aca="false">L88-L89+L90</f>
        <v>0</v>
      </c>
      <c r="M91" s="278" t="n">
        <f aca="false">M88-M89+M90</f>
        <v>0</v>
      </c>
      <c r="N91" s="278" t="n">
        <f aca="false">N88-N89+N90</f>
        <v>0</v>
      </c>
      <c r="O91" s="256"/>
      <c r="P91" s="256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</row>
    <row r="92" customFormat="false" ht="12.75" hidden="false" customHeight="false" outlineLevel="0" collapsed="false">
      <c r="A92" s="409" t="s">
        <v>219</v>
      </c>
      <c r="B92" s="415"/>
      <c r="C92" s="415"/>
      <c r="D92" s="415"/>
      <c r="E92" s="415"/>
      <c r="F92" s="415"/>
      <c r="G92" s="415"/>
      <c r="H92" s="415"/>
      <c r="I92" s="415"/>
      <c r="J92" s="415"/>
      <c r="K92" s="415"/>
      <c r="L92" s="415"/>
      <c r="M92" s="415"/>
      <c r="N92" s="415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</row>
    <row r="93" customFormat="false" ht="12.75" hidden="false" customHeight="false" outlineLevel="0" collapsed="false">
      <c r="A93" s="407" t="s">
        <v>211</v>
      </c>
      <c r="B93" s="256"/>
      <c r="C93" s="256"/>
      <c r="D93" s="256"/>
      <c r="E93" s="408" t="n">
        <f aca="false">F9</f>
        <v>0</v>
      </c>
      <c r="F93" s="408" t="n">
        <f aca="false">E96</f>
        <v>0</v>
      </c>
      <c r="G93" s="408" t="n">
        <f aca="false">F96</f>
        <v>0</v>
      </c>
      <c r="H93" s="408" t="n">
        <f aca="false">G96</f>
        <v>0</v>
      </c>
      <c r="I93" s="408" t="n">
        <f aca="false">H96</f>
        <v>0</v>
      </c>
      <c r="J93" s="408" t="n">
        <f aca="false">I96</f>
        <v>0</v>
      </c>
      <c r="K93" s="408" t="n">
        <f aca="false">J96</f>
        <v>0</v>
      </c>
      <c r="L93" s="408" t="n">
        <f aca="false">K96</f>
        <v>0</v>
      </c>
      <c r="M93" s="408" t="n">
        <f aca="false">L96</f>
        <v>0</v>
      </c>
      <c r="N93" s="408" t="n">
        <f aca="false">M96</f>
        <v>0</v>
      </c>
      <c r="O93" s="256"/>
      <c r="P93" s="256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</row>
    <row r="94" customFormat="false" ht="12.75" hidden="false" customHeight="false" outlineLevel="0" collapsed="false">
      <c r="A94" s="407" t="s">
        <v>216</v>
      </c>
      <c r="B94" s="256"/>
      <c r="C94" s="256"/>
      <c r="D94" s="256"/>
      <c r="E94" s="278" t="n">
        <f aca="false">-PMT($G$9,$H$9,$F$9)</f>
        <v>0</v>
      </c>
      <c r="F94" s="278" t="n">
        <f aca="false">IF(E96&lt;=0.25,0,-PMT($G$9,$H$9,$F$9))</f>
        <v>0</v>
      </c>
      <c r="G94" s="278" t="n">
        <f aca="false">IF(F96&lt;=0.25,0,-PMT($G$9,$H$9,$F$9))</f>
        <v>0</v>
      </c>
      <c r="H94" s="278" t="n">
        <f aca="false">IF(G96&lt;=0.25,0,-PMT($G$9,$H$9,$F$9))</f>
        <v>0</v>
      </c>
      <c r="I94" s="278" t="n">
        <f aca="false">IF(H96&lt;=0.25,0,-PMT($G$9,$H$9,$F$9))</f>
        <v>0</v>
      </c>
      <c r="J94" s="278" t="n">
        <f aca="false">IF(I96&lt;=0.25,0,-PMT($G$9,$H$9,$F$9))</f>
        <v>0</v>
      </c>
      <c r="K94" s="278" t="n">
        <f aca="false">IF(J96&lt;=0.25,0,-PMT($G$9,$H$9,$F$9))</f>
        <v>0</v>
      </c>
      <c r="L94" s="278" t="n">
        <f aca="false">IF(K96&lt;=0.25,0,-PMT($G$9,$H$9,$F$9))</f>
        <v>0</v>
      </c>
      <c r="M94" s="278" t="n">
        <f aca="false">IF(L96&lt;=0.25,0,-PMT($G$9,$H$9,$F$9))</f>
        <v>0</v>
      </c>
      <c r="N94" s="278" t="n">
        <f aca="false">IF(M96&lt;=0.25,0,-PMT($G$9,$H$9,$F$9))</f>
        <v>0</v>
      </c>
      <c r="O94" s="256"/>
      <c r="P94" s="256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</row>
    <row r="95" customFormat="false" ht="12.75" hidden="false" customHeight="false" outlineLevel="0" collapsed="false">
      <c r="A95" s="407" t="s">
        <v>217</v>
      </c>
      <c r="B95" s="256"/>
      <c r="C95" s="256"/>
      <c r="D95" s="256"/>
      <c r="E95" s="408" t="n">
        <f aca="false">E93*$G$9</f>
        <v>0</v>
      </c>
      <c r="F95" s="408" t="n">
        <f aca="false">F93*$G$9</f>
        <v>0</v>
      </c>
      <c r="G95" s="408" t="n">
        <f aca="false">G93*$G$9</f>
        <v>0</v>
      </c>
      <c r="H95" s="408" t="n">
        <f aca="false">H93*$G$9</f>
        <v>0</v>
      </c>
      <c r="I95" s="408" t="n">
        <f aca="false">I93*$G$9</f>
        <v>0</v>
      </c>
      <c r="J95" s="408" t="n">
        <f aca="false">J93*$G$9</f>
        <v>0</v>
      </c>
      <c r="K95" s="408" t="n">
        <f aca="false">K93*$G$9</f>
        <v>0</v>
      </c>
      <c r="L95" s="408" t="n">
        <f aca="false">L93*$G$9</f>
        <v>0</v>
      </c>
      <c r="M95" s="408" t="n">
        <f aca="false">M93*$G$9</f>
        <v>0</v>
      </c>
      <c r="N95" s="408" t="n">
        <f aca="false">N93*$G$9</f>
        <v>0</v>
      </c>
      <c r="O95" s="256"/>
      <c r="P95" s="256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</row>
    <row r="96" customFormat="false" ht="12.75" hidden="false" customHeight="false" outlineLevel="0" collapsed="false">
      <c r="A96" s="412" t="s">
        <v>218</v>
      </c>
      <c r="B96" s="156"/>
      <c r="C96" s="156"/>
      <c r="D96" s="156"/>
      <c r="E96" s="417" t="n">
        <f aca="false">E93-E94+E95</f>
        <v>0</v>
      </c>
      <c r="F96" s="417" t="n">
        <f aca="false">F93-F94+F95</f>
        <v>0</v>
      </c>
      <c r="G96" s="417" t="n">
        <f aca="false">G93-G94+G95</f>
        <v>0</v>
      </c>
      <c r="H96" s="417" t="n">
        <f aca="false">H93-H94+H95</f>
        <v>0</v>
      </c>
      <c r="I96" s="417" t="n">
        <f aca="false">I93-I94+I95</f>
        <v>0</v>
      </c>
      <c r="J96" s="417" t="n">
        <f aca="false">J93-J94+J95</f>
        <v>0</v>
      </c>
      <c r="K96" s="417" t="n">
        <f aca="false">K93-K94+K95</f>
        <v>0</v>
      </c>
      <c r="L96" s="418" t="n">
        <f aca="false">L93-L94+L95</f>
        <v>0</v>
      </c>
      <c r="M96" s="418" t="n">
        <f aca="false">M93-M94+M95</f>
        <v>0</v>
      </c>
      <c r="N96" s="418" t="n">
        <f aca="false">N93-N94+N95</f>
        <v>0</v>
      </c>
      <c r="O96" s="256"/>
      <c r="P96" s="256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</row>
    <row r="97" customFormat="false" ht="12.75" hidden="false" customHeight="false" outlineLevel="0" collapsed="false">
      <c r="A97" s="256"/>
      <c r="B97" s="256"/>
      <c r="C97" s="256"/>
      <c r="D97" s="256"/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6"/>
      <c r="P97" s="256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</row>
    <row r="98" customFormat="false" ht="12.75" hidden="false" customHeight="false" outlineLevel="0" collapsed="false">
      <c r="A98" s="256"/>
      <c r="B98" s="256"/>
      <c r="C98" s="256"/>
      <c r="D98" s="256"/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</row>
    <row r="99" customFormat="false" ht="12.75" hidden="false" customHeight="false" outlineLevel="0" collapsed="false">
      <c r="A99" s="256"/>
      <c r="B99" s="256"/>
      <c r="C99" s="256"/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</row>
    <row r="100" customFormat="false" ht="12.75" hidden="false" customHeight="false" outlineLevel="0" collapsed="false">
      <c r="A100" s="256"/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</row>
    <row r="101" customFormat="false" ht="12.75" hidden="false" customHeight="false" outlineLevel="0" collapsed="false">
      <c r="A101" s="256"/>
      <c r="B101" s="256"/>
      <c r="C101" s="256"/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</row>
    <row r="102" customFormat="false" ht="12.75" hidden="false" customHeight="false" outlineLevel="0" collapsed="false">
      <c r="A102" s="256"/>
      <c r="B102" s="256"/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</row>
    <row r="103" customFormat="false" ht="12.75" hidden="false" customHeight="false" outlineLevel="0" collapsed="false">
      <c r="A103" s="256"/>
      <c r="B103" s="256"/>
      <c r="C103" s="256"/>
      <c r="D103" s="256"/>
      <c r="E103" s="256"/>
      <c r="F103" s="256"/>
      <c r="G103" s="256"/>
      <c r="H103" s="256"/>
      <c r="I103" s="256"/>
      <c r="J103" s="256"/>
      <c r="K103" s="256"/>
      <c r="L103" s="256"/>
      <c r="M103" s="256"/>
      <c r="N103" s="256"/>
      <c r="O103" s="256"/>
      <c r="P103" s="256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F7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14"/>
    <col collapsed="false" customWidth="true" hidden="false" outlineLevel="0" max="2" min="2" style="0" width="9.7"/>
    <col collapsed="false" customWidth="true" hidden="false" outlineLevel="0" max="3" min="3" style="0" width="11.99"/>
    <col collapsed="false" customWidth="true" hidden="false" outlineLevel="0" max="4" min="4" style="0" width="10.13"/>
    <col collapsed="false" customWidth="true" hidden="false" outlineLevel="0" max="6" min="5" style="0" width="9.85"/>
    <col collapsed="false" customWidth="true" hidden="false" outlineLevel="0" max="7" min="7" style="0" width="10.99"/>
    <col collapsed="false" customWidth="true" hidden="false" outlineLevel="0" max="9" min="8" style="0" width="10.56"/>
    <col collapsed="false" customWidth="true" hidden="false" outlineLevel="0" max="10" min="10" style="0" width="10.99"/>
    <col collapsed="false" customWidth="true" hidden="false" outlineLevel="0" max="11" min="11" style="0" width="10.56"/>
    <col collapsed="false" customWidth="true" hidden="false" outlineLevel="0" max="14" min="12" style="0" width="9.85"/>
    <col collapsed="false" customWidth="true" hidden="false" outlineLevel="0" max="15" min="15" style="0" width="11.42"/>
  </cols>
  <sheetData>
    <row r="1" customFormat="false" ht="20.25" hidden="false" customHeight="false" outlineLevel="0" collapsed="false">
      <c r="A1" s="57" t="str">
        <f aca="false">"Project "&amp;Assumptions!D7</f>
        <v>Project Wolverine</v>
      </c>
      <c r="B1" s="10"/>
      <c r="C1" s="12"/>
    </row>
    <row r="2" customFormat="false" ht="16.5" hidden="false" customHeight="false" outlineLevel="0" collapsed="false">
      <c r="A2" s="59" t="s">
        <v>220</v>
      </c>
      <c r="B2" s="28"/>
      <c r="C2" s="30"/>
    </row>
    <row r="3" customFormat="false" ht="13.5" hidden="false" customHeight="false" outlineLevel="0" collapsed="false"/>
    <row r="4" customFormat="false" ht="12.75" hidden="false" customHeight="false" outlineLevel="0" collapsed="false">
      <c r="A4" s="419" t="s">
        <v>221</v>
      </c>
      <c r="B4" s="420"/>
      <c r="C4" s="421" t="s">
        <v>222</v>
      </c>
      <c r="D4" s="422" t="s">
        <v>223</v>
      </c>
      <c r="F4" s="423" t="s">
        <v>224</v>
      </c>
      <c r="G4" s="423"/>
      <c r="H4" s="423"/>
      <c r="J4" s="65" t="s">
        <v>62</v>
      </c>
      <c r="K4" s="424"/>
      <c r="L4" s="424"/>
      <c r="M4" s="66"/>
    </row>
    <row r="5" customFormat="false" ht="12.75" hidden="false" customHeight="false" outlineLevel="0" collapsed="false">
      <c r="A5" s="425" t="s">
        <v>225</v>
      </c>
      <c r="B5" s="17"/>
      <c r="C5" s="426" t="n">
        <f aca="false">CPurPrice</f>
        <v>12590.9483764403</v>
      </c>
      <c r="D5" s="427" t="n">
        <f aca="false">C5*(Assumptions!$D$24)</f>
        <v>0</v>
      </c>
      <c r="F5" s="16"/>
      <c r="G5" s="17"/>
      <c r="H5" s="19"/>
      <c r="J5" s="71" t="e">
        <f aca="false">IF(SUM(#REF!)&lt;&gt;$B$8*(N13-D14+1),"Warning- Check if the Capital Structure is constant","")</f>
        <v>#REF!</v>
      </c>
      <c r="K5" s="17"/>
      <c r="L5" s="17"/>
      <c r="M5" s="19"/>
    </row>
    <row r="6" customFormat="false" ht="12.75" hidden="false" customHeight="false" outlineLevel="0" collapsed="false">
      <c r="A6" s="425"/>
      <c r="B6" s="17"/>
      <c r="C6" s="428"/>
      <c r="D6" s="19"/>
      <c r="F6" s="429" t="n">
        <f aca="false">G6-0.025</f>
        <v>0.1</v>
      </c>
      <c r="G6" s="430" t="n">
        <f aca="false">ConsDRate</f>
        <v>0.125</v>
      </c>
      <c r="H6" s="431" t="n">
        <f aca="false">G6+0.025</f>
        <v>0.15</v>
      </c>
      <c r="J6" s="71"/>
      <c r="K6" s="17"/>
      <c r="L6" s="17"/>
      <c r="M6" s="19"/>
    </row>
    <row r="7" customFormat="false" ht="13.5" hidden="false" customHeight="false" outlineLevel="0" collapsed="false">
      <c r="A7" s="24" t="s">
        <v>226</v>
      </c>
      <c r="B7" s="17"/>
      <c r="C7" s="432" t="n">
        <f aca="false">C5+D5</f>
        <v>12590.9483764403</v>
      </c>
      <c r="D7" s="19"/>
      <c r="F7" s="433" t="e">
        <f aca="false">NPV(F$6,C32:O32)</f>
        <v>#REF!</v>
      </c>
      <c r="G7" s="434" t="e">
        <f aca="false">NPV(G$6,C32:O32)</f>
        <v>#REF!</v>
      </c>
      <c r="H7" s="435" t="e">
        <f aca="false">NPV(H$6,C32:O32)</f>
        <v>#REF!</v>
      </c>
      <c r="J7" s="71"/>
      <c r="K7" s="17"/>
      <c r="L7" s="17"/>
      <c r="M7" s="19"/>
    </row>
    <row r="8" customFormat="false" ht="13.5" hidden="false" customHeight="false" outlineLevel="0" collapsed="false">
      <c r="A8" s="16" t="s">
        <v>227</v>
      </c>
      <c r="B8" s="436" t="n">
        <f aca="false">'Fin Stats and Ratios'!E15</f>
        <v>0.5</v>
      </c>
      <c r="C8" s="428" t="n">
        <f aca="false">C7*$B$8</f>
        <v>6295.47418822013</v>
      </c>
      <c r="D8" s="19"/>
      <c r="J8" s="16"/>
      <c r="K8" s="17"/>
      <c r="L8" s="17"/>
      <c r="M8" s="19"/>
    </row>
    <row r="9" customFormat="false" ht="13.5" hidden="false" customHeight="false" outlineLevel="0" collapsed="false">
      <c r="A9" s="27" t="s">
        <v>228</v>
      </c>
      <c r="B9" s="437" t="n">
        <f aca="false">1-B8</f>
        <v>0.5</v>
      </c>
      <c r="C9" s="438" t="n">
        <f aca="false">C7-C8</f>
        <v>6295.47418822013</v>
      </c>
      <c r="D9" s="30"/>
      <c r="F9" s="439" t="s">
        <v>229</v>
      </c>
      <c r="G9" s="440" t="e">
        <f aca="false">IRR($C$32:$O$32)</f>
        <v>#REF!</v>
      </c>
      <c r="J9" s="16"/>
      <c r="K9" s="17"/>
      <c r="L9" s="17"/>
      <c r="M9" s="19"/>
    </row>
    <row r="10" customFormat="false" ht="13.5" hidden="false" customHeight="false" outlineLevel="0" collapsed="false">
      <c r="J10" s="27"/>
      <c r="K10" s="28"/>
      <c r="L10" s="28"/>
      <c r="M10" s="30"/>
    </row>
    <row r="12" customFormat="false" ht="12.75" hidden="false" customHeight="false" outlineLevel="0" collapsed="false">
      <c r="C12" s="302"/>
      <c r="D12" s="306" t="s">
        <v>192</v>
      </c>
      <c r="E12" s="307"/>
      <c r="F12" s="295"/>
      <c r="G12" s="295"/>
      <c r="H12" s="176"/>
      <c r="I12" s="295"/>
      <c r="J12" s="176"/>
      <c r="K12" s="176"/>
      <c r="L12" s="176"/>
      <c r="M12" s="176"/>
      <c r="N12" s="103"/>
    </row>
    <row r="13" customFormat="false" ht="12.75" hidden="false" customHeight="false" outlineLevel="0" collapsed="false">
      <c r="C13" s="302"/>
      <c r="D13" s="308" t="n">
        <v>2001</v>
      </c>
      <c r="E13" s="309" t="n">
        <v>2002</v>
      </c>
      <c r="F13" s="309" t="n">
        <v>2003</v>
      </c>
      <c r="G13" s="309" t="n">
        <v>2004</v>
      </c>
      <c r="H13" s="309" t="n">
        <v>2005</v>
      </c>
      <c r="I13" s="309" t="n">
        <v>2006</v>
      </c>
      <c r="J13" s="310" t="n">
        <v>2007</v>
      </c>
      <c r="K13" s="310" t="n">
        <v>2008</v>
      </c>
      <c r="L13" s="310" t="n">
        <v>2009</v>
      </c>
      <c r="M13" s="310" t="n">
        <v>2010</v>
      </c>
      <c r="N13" s="441" t="n">
        <f aca="false">M14+1</f>
        <v>11</v>
      </c>
    </row>
    <row r="14" customFormat="false" ht="12.75" hidden="false" customHeight="false" outlineLevel="0" collapsed="false">
      <c r="C14" s="312" t="s">
        <v>193</v>
      </c>
      <c r="D14" s="308" t="n">
        <v>1</v>
      </c>
      <c r="E14" s="309" t="n">
        <v>2</v>
      </c>
      <c r="F14" s="309" t="n">
        <v>3</v>
      </c>
      <c r="G14" s="309" t="n">
        <v>4</v>
      </c>
      <c r="H14" s="309" t="n">
        <v>5</v>
      </c>
      <c r="I14" s="309" t="n">
        <v>6</v>
      </c>
      <c r="J14" s="309" t="n">
        <v>7</v>
      </c>
      <c r="K14" s="309" t="n">
        <v>8</v>
      </c>
      <c r="L14" s="309" t="n">
        <v>9</v>
      </c>
      <c r="M14" s="309" t="n">
        <v>10</v>
      </c>
      <c r="N14" s="387" t="n">
        <v>11</v>
      </c>
    </row>
    <row r="15" customFormat="false" ht="12.75" hidden="false" customHeight="false" outlineLevel="0" collapsed="false">
      <c r="A15" s="299" t="s">
        <v>230</v>
      </c>
      <c r="B15" s="299"/>
      <c r="C15" s="299"/>
      <c r="D15" s="442" t="n">
        <f aca="false">'Unlev. Consolid'!H23</f>
        <v>334172</v>
      </c>
      <c r="E15" s="442" t="n">
        <f aca="false">'Unlev. Consolid'!I23</f>
        <v>335852.5</v>
      </c>
      <c r="F15" s="442" t="n">
        <f aca="false">'Unlev. Consolid'!J23</f>
        <v>337536.6034</v>
      </c>
      <c r="G15" s="442" t="n">
        <f aca="false">'Unlev. Consolid'!K23</f>
        <v>339140.603732</v>
      </c>
      <c r="H15" s="442" t="n">
        <f aca="false">'Unlev. Consolid'!L23</f>
        <v>340729.02825193</v>
      </c>
      <c r="I15" s="442" t="n">
        <f aca="false">'Unlev. Consolid'!M23</f>
        <v>342182.60074204</v>
      </c>
      <c r="J15" s="442" t="n">
        <f aca="false">'Unlev. Consolid'!N23</f>
        <v>343599.677484827</v>
      </c>
      <c r="K15" s="442" t="n">
        <f aca="false">'Unlev. Consolid'!O23</f>
        <v>344845.582435086</v>
      </c>
      <c r="L15" s="442" t="n">
        <f aca="false">'Unlev. Consolid'!P23</f>
        <v>346051.689596518</v>
      </c>
      <c r="M15" s="442" t="n">
        <f aca="false">'Unlev. Consolid'!Q23</f>
        <v>347095.871001609</v>
      </c>
      <c r="N15" s="442" t="n">
        <f aca="false">'Unlev. Consolid'!R23</f>
        <v>348120.117497209</v>
      </c>
    </row>
    <row r="16" customFormat="false" ht="12.75" hidden="false" customHeight="false" outlineLevel="0" collapsed="false">
      <c r="A16" s="0" t="s">
        <v>231</v>
      </c>
      <c r="D16" s="95" t="e">
        <f aca="false">'Unlev. Consolid'!H35</f>
        <v>#REF!</v>
      </c>
      <c r="E16" s="95" t="e">
        <f aca="false">'Unlev. Consolid'!I35</f>
        <v>#REF!</v>
      </c>
      <c r="F16" s="95" t="e">
        <f aca="false">'Unlev. Consolid'!J35</f>
        <v>#REF!</v>
      </c>
      <c r="G16" s="95" t="e">
        <f aca="false">'Unlev. Consolid'!K35</f>
        <v>#REF!</v>
      </c>
      <c r="H16" s="95" t="e">
        <f aca="false">'Unlev. Consolid'!L35</f>
        <v>#REF!</v>
      </c>
      <c r="I16" s="95" t="e">
        <f aca="false">'Unlev. Consolid'!M35</f>
        <v>#REF!</v>
      </c>
      <c r="J16" s="95" t="e">
        <f aca="false">'Unlev. Consolid'!N35</f>
        <v>#REF!</v>
      </c>
      <c r="K16" s="95" t="e">
        <f aca="false">'Unlev. Consolid'!O35</f>
        <v>#REF!</v>
      </c>
      <c r="L16" s="95" t="e">
        <f aca="false">'Unlev. Consolid'!P35</f>
        <v>#REF!</v>
      </c>
      <c r="M16" s="95" t="e">
        <f aca="false">'Unlev. Consolid'!Q35</f>
        <v>#REF!</v>
      </c>
      <c r="N16" s="95" t="e">
        <f aca="false">'Unlev. Consolid'!R35</f>
        <v>#REF!</v>
      </c>
    </row>
    <row r="17" customFormat="false" ht="12.75" hidden="false" customHeight="false" outlineLevel="0" collapsed="false">
      <c r="A17" s="0" t="s">
        <v>232</v>
      </c>
      <c r="D17" s="443" t="n">
        <f aca="false">'Unlev. Consolid'!H25</f>
        <v>0</v>
      </c>
      <c r="E17" s="443" t="n">
        <f aca="false">'Unlev. Consolid'!I25</f>
        <v>0</v>
      </c>
      <c r="F17" s="443" t="n">
        <f aca="false">'Unlev. Consolid'!J25</f>
        <v>0</v>
      </c>
      <c r="G17" s="443" t="n">
        <f aca="false">'Unlev. Consolid'!K25</f>
        <v>0</v>
      </c>
      <c r="H17" s="443" t="n">
        <f aca="false">'Unlev. Consolid'!L25</f>
        <v>0</v>
      </c>
      <c r="I17" s="443" t="n">
        <f aca="false">'Unlev. Consolid'!M25</f>
        <v>0</v>
      </c>
      <c r="J17" s="443" t="n">
        <f aca="false">'Unlev. Consolid'!N25</f>
        <v>0</v>
      </c>
      <c r="K17" s="443" t="n">
        <f aca="false">'Unlev. Consolid'!O25</f>
        <v>0</v>
      </c>
      <c r="L17" s="443" t="n">
        <f aca="false">'Unlev. Consolid'!P25</f>
        <v>0</v>
      </c>
      <c r="M17" s="443" t="n">
        <f aca="false">'Unlev. Consolid'!Q25</f>
        <v>0</v>
      </c>
      <c r="N17" s="443" t="n">
        <f aca="false">'Unlev. Consolid'!R25</f>
        <v>0</v>
      </c>
    </row>
    <row r="18" customFormat="false" ht="12.75" hidden="false" customHeight="false" outlineLevel="0" collapsed="false">
      <c r="A18" s="299" t="s">
        <v>233</v>
      </c>
      <c r="B18" s="299"/>
      <c r="C18" s="299"/>
      <c r="D18" s="444" t="e">
        <f aca="false">D15-D16-D17</f>
        <v>#REF!</v>
      </c>
      <c r="E18" s="444" t="e">
        <f aca="false">E15-E16-E17</f>
        <v>#REF!</v>
      </c>
      <c r="F18" s="444" t="e">
        <f aca="false">F15-F16-F17</f>
        <v>#REF!</v>
      </c>
      <c r="G18" s="444" t="e">
        <f aca="false">G15-G16-G17</f>
        <v>#REF!</v>
      </c>
      <c r="H18" s="444" t="e">
        <f aca="false">H15-H16-H17</f>
        <v>#REF!</v>
      </c>
      <c r="I18" s="444" t="e">
        <f aca="false">I15-I16-I17</f>
        <v>#REF!</v>
      </c>
      <c r="J18" s="444" t="e">
        <f aca="false">J15-J16-J17</f>
        <v>#REF!</v>
      </c>
      <c r="K18" s="444" t="e">
        <f aca="false">K15-K16-K17</f>
        <v>#REF!</v>
      </c>
      <c r="L18" s="444" t="e">
        <f aca="false">L15-L16-L17</f>
        <v>#REF!</v>
      </c>
      <c r="M18" s="444" t="e">
        <f aca="false">M15-M16-M17</f>
        <v>#REF!</v>
      </c>
      <c r="N18" s="444" t="e">
        <f aca="false">N15-N16-N17</f>
        <v>#REF!</v>
      </c>
    </row>
    <row r="19" customFormat="false" ht="15" hidden="false" customHeight="false" outlineLevel="0" collapsed="false">
      <c r="A19" s="0" t="s">
        <v>234</v>
      </c>
      <c r="B19" s="445" t="n">
        <f aca="false">Assumptions!D32</f>
        <v>0.075</v>
      </c>
      <c r="D19" s="443" t="n">
        <f aca="false">Debt!E28</f>
        <v>108958.863820575</v>
      </c>
      <c r="E19" s="443" t="n">
        <f aca="false">Debt!F28</f>
        <v>98062.9774385174</v>
      </c>
      <c r="F19" s="443" t="n">
        <f aca="false">Debt!G28</f>
        <v>87167.0910564599</v>
      </c>
      <c r="G19" s="443" t="n">
        <f aca="false">Debt!H28</f>
        <v>76271.2046744024</v>
      </c>
      <c r="H19" s="443" t="n">
        <f aca="false">Debt!I28</f>
        <v>65375.318292345</v>
      </c>
      <c r="I19" s="443" t="n">
        <f aca="false">Debt!J28</f>
        <v>54479.4319102875</v>
      </c>
      <c r="J19" s="443" t="n">
        <f aca="false">Debt!K28</f>
        <v>43583.54552823</v>
      </c>
      <c r="K19" s="443" t="n">
        <f aca="false">Debt!L28</f>
        <v>32687.6591461725</v>
      </c>
      <c r="L19" s="443" t="n">
        <f aca="false">Debt!M28</f>
        <v>21791.772764115</v>
      </c>
      <c r="M19" s="443" t="n">
        <f aca="false">Debt!N28</f>
        <v>10895.8863820575</v>
      </c>
      <c r="N19" s="443" t="n">
        <f aca="false">Debt!O28</f>
        <v>0</v>
      </c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6"/>
      <c r="AG19" s="446"/>
    </row>
    <row r="20" customFormat="false" ht="12.75" hidden="false" customHeight="false" outlineLevel="0" collapsed="false">
      <c r="A20" s="299" t="s">
        <v>235</v>
      </c>
      <c r="B20" s="299"/>
      <c r="C20" s="299"/>
      <c r="D20" s="442" t="e">
        <f aca="false">D18-D19</f>
        <v>#REF!</v>
      </c>
      <c r="E20" s="442" t="e">
        <f aca="false">E18-E19</f>
        <v>#REF!</v>
      </c>
      <c r="F20" s="442" t="e">
        <f aca="false">F18-F19</f>
        <v>#REF!</v>
      </c>
      <c r="G20" s="442" t="e">
        <f aca="false">G18-G19</f>
        <v>#REF!</v>
      </c>
      <c r="H20" s="442" t="e">
        <f aca="false">H18-H19</f>
        <v>#REF!</v>
      </c>
      <c r="I20" s="442" t="e">
        <f aca="false">I18-I19</f>
        <v>#REF!</v>
      </c>
      <c r="J20" s="442" t="e">
        <f aca="false">J18-J19</f>
        <v>#REF!</v>
      </c>
      <c r="K20" s="442" t="e">
        <f aca="false">K18-K19</f>
        <v>#REF!</v>
      </c>
      <c r="L20" s="442" t="e">
        <f aca="false">L18-L19</f>
        <v>#REF!</v>
      </c>
      <c r="M20" s="442" t="e">
        <f aca="false">M18-M19</f>
        <v>#REF!</v>
      </c>
      <c r="N20" s="442" t="e">
        <f aca="false">N18-N19</f>
        <v>#REF!</v>
      </c>
    </row>
    <row r="21" customFormat="false" ht="12.75" hidden="false" customHeight="false" outlineLevel="0" collapsed="false">
      <c r="A21" s="0" t="s">
        <v>236</v>
      </c>
      <c r="B21" s="447" t="n">
        <f aca="false">Assumptions!D21</f>
        <v>0.385</v>
      </c>
      <c r="D21" s="443" t="e">
        <f aca="false">D20*$B$21</f>
        <v>#REF!</v>
      </c>
      <c r="E21" s="443" t="e">
        <f aca="false">E20*$B$21</f>
        <v>#REF!</v>
      </c>
      <c r="F21" s="443" t="e">
        <f aca="false">F20*$B$21</f>
        <v>#REF!</v>
      </c>
      <c r="G21" s="443" t="e">
        <f aca="false">G20*$B$21</f>
        <v>#REF!</v>
      </c>
      <c r="H21" s="443" t="e">
        <f aca="false">H20*$B$21</f>
        <v>#REF!</v>
      </c>
      <c r="I21" s="443" t="e">
        <f aca="false">I20*$B$21</f>
        <v>#REF!</v>
      </c>
      <c r="J21" s="443" t="e">
        <f aca="false">J20*$B$21</f>
        <v>#REF!</v>
      </c>
      <c r="K21" s="443" t="e">
        <f aca="false">K20*$B$21</f>
        <v>#REF!</v>
      </c>
      <c r="L21" s="443" t="e">
        <f aca="false">L20*$B$21</f>
        <v>#REF!</v>
      </c>
      <c r="M21" s="443" t="e">
        <f aca="false">M20*$B$21</f>
        <v>#REF!</v>
      </c>
      <c r="N21" s="443" t="e">
        <f aca="false">N20*$B$21</f>
        <v>#REF!</v>
      </c>
    </row>
    <row r="22" customFormat="false" ht="12.75" hidden="false" customHeight="false" outlineLevel="0" collapsed="false">
      <c r="A22" s="299" t="s">
        <v>237</v>
      </c>
      <c r="B22" s="299"/>
      <c r="C22" s="299"/>
      <c r="D22" s="442" t="e">
        <f aca="false">D20-D21</f>
        <v>#REF!</v>
      </c>
      <c r="E22" s="442" t="e">
        <f aca="false">E20-E21</f>
        <v>#REF!</v>
      </c>
      <c r="F22" s="442" t="e">
        <f aca="false">F20-F21</f>
        <v>#REF!</v>
      </c>
      <c r="G22" s="442" t="e">
        <f aca="false">G20-G21</f>
        <v>#REF!</v>
      </c>
      <c r="H22" s="442" t="e">
        <f aca="false">H20-H21</f>
        <v>#REF!</v>
      </c>
      <c r="I22" s="442" t="e">
        <f aca="false">I20-I21</f>
        <v>#REF!</v>
      </c>
      <c r="J22" s="442" t="e">
        <f aca="false">J20-J21</f>
        <v>#REF!</v>
      </c>
      <c r="K22" s="442" t="e">
        <f aca="false">K20-K21</f>
        <v>#REF!</v>
      </c>
      <c r="L22" s="442" t="e">
        <f aca="false">L20-L21</f>
        <v>#REF!</v>
      </c>
      <c r="M22" s="442" t="e">
        <f aca="false">M20-M21</f>
        <v>#REF!</v>
      </c>
      <c r="N22" s="442" t="e">
        <f aca="false">N20-N21</f>
        <v>#REF!</v>
      </c>
    </row>
    <row r="23" customFormat="false" ht="12.75" hidden="false" customHeight="false" outlineLevel="0" collapsed="false">
      <c r="A23" s="83" t="s">
        <v>238</v>
      </c>
      <c r="B23" s="448"/>
      <c r="D23" s="95" t="n">
        <v>447.34666359513</v>
      </c>
      <c r="E23" s="95" t="n">
        <v>561.464011228506</v>
      </c>
      <c r="F23" s="95" t="n">
        <v>700.871757861877</v>
      </c>
      <c r="G23" s="95" t="n">
        <v>812.258528865249</v>
      </c>
      <c r="H23" s="95" t="n">
        <v>936.313729554525</v>
      </c>
      <c r="I23" s="95" t="n">
        <v>1000.71773875024</v>
      </c>
      <c r="J23" s="95" t="n">
        <v>1067.02583010366</v>
      </c>
      <c r="K23" s="95" t="n">
        <v>1053.51012024203</v>
      </c>
      <c r="L23" s="95" t="n">
        <v>1042.09606817967</v>
      </c>
      <c r="M23" s="95" t="n">
        <v>958.838841690749</v>
      </c>
      <c r="N23" s="95" t="n">
        <v>892.260980644091</v>
      </c>
    </row>
    <row r="24" customFormat="false" ht="12.75" hidden="false" customHeight="false" outlineLevel="0" collapsed="false"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P24" s="449"/>
      <c r="Q24" s="449"/>
      <c r="R24" s="449"/>
      <c r="S24" s="449"/>
      <c r="T24" s="449"/>
      <c r="U24" s="449"/>
      <c r="V24" s="449"/>
      <c r="W24" s="449"/>
      <c r="X24" s="449"/>
      <c r="Y24" s="449"/>
      <c r="Z24" s="449"/>
      <c r="AA24" s="449"/>
      <c r="AB24" s="449"/>
      <c r="AC24" s="449"/>
      <c r="AD24" s="449"/>
      <c r="AE24" s="449"/>
      <c r="AF24" s="449"/>
      <c r="AG24" s="449"/>
      <c r="AH24" s="449"/>
      <c r="AI24" s="449"/>
      <c r="AJ24" s="449"/>
      <c r="AK24" s="449"/>
      <c r="AL24" s="449"/>
      <c r="AM24" s="449"/>
      <c r="AN24" s="449"/>
      <c r="AO24" s="449"/>
      <c r="AP24" s="449"/>
      <c r="AQ24" s="449"/>
      <c r="AR24" s="449"/>
      <c r="AS24" s="449"/>
      <c r="AT24" s="449"/>
      <c r="AU24" s="449"/>
      <c r="AV24" s="449"/>
      <c r="AW24" s="449"/>
      <c r="AX24" s="449"/>
      <c r="AY24" s="449"/>
      <c r="AZ24" s="449"/>
      <c r="BA24" s="449"/>
      <c r="BB24" s="449"/>
      <c r="BC24" s="449"/>
      <c r="BD24" s="449"/>
      <c r="BE24" s="449"/>
      <c r="BF24" s="449"/>
      <c r="BG24" s="449"/>
      <c r="BH24" s="449"/>
      <c r="BI24" s="449"/>
      <c r="BJ24" s="449"/>
      <c r="BK24" s="449"/>
      <c r="BL24" s="449"/>
    </row>
    <row r="25" customFormat="false" ht="12.75" hidden="false" customHeight="false" outlineLevel="0" collapsed="false">
      <c r="A25" s="0" t="s">
        <v>239</v>
      </c>
      <c r="B25" s="450" t="n">
        <v>0</v>
      </c>
      <c r="D25" s="443" t="e">
        <f aca="false">+(D22-D23)*$B$17</f>
        <v>#REF!</v>
      </c>
      <c r="E25" s="443" t="e">
        <f aca="false">+(E22-E23)*$B$17</f>
        <v>#REF!</v>
      </c>
      <c r="F25" s="443" t="e">
        <f aca="false">+(F22-F23)*$B$17</f>
        <v>#REF!</v>
      </c>
      <c r="G25" s="443" t="e">
        <f aca="false">+(G22-G23)*$B$17</f>
        <v>#REF!</v>
      </c>
      <c r="H25" s="443" t="e">
        <f aca="false">+(H22-H23)*$B$17</f>
        <v>#REF!</v>
      </c>
      <c r="I25" s="443" t="e">
        <f aca="false">+(I22-I23)*$B$17</f>
        <v>#REF!</v>
      </c>
      <c r="J25" s="443" t="e">
        <f aca="false">+(J22-J23)*$B$17</f>
        <v>#REF!</v>
      </c>
      <c r="K25" s="443" t="e">
        <f aca="false">+(K22-K23)*$B$17</f>
        <v>#REF!</v>
      </c>
      <c r="L25" s="443" t="e">
        <f aca="false">+(L22-L23)*$B$17</f>
        <v>#REF!</v>
      </c>
      <c r="M25" s="443" t="e">
        <f aca="false">+(M22-M23)*$B$17</f>
        <v>#REF!</v>
      </c>
      <c r="N25" s="443" t="e">
        <f aca="false">+(N22-N23)*$B$17</f>
        <v>#REF!</v>
      </c>
      <c r="O25" s="451" t="s">
        <v>230</v>
      </c>
      <c r="P25" s="449"/>
      <c r="Q25" s="449"/>
      <c r="R25" s="449"/>
      <c r="S25" s="449"/>
      <c r="T25" s="449"/>
      <c r="U25" s="449"/>
      <c r="V25" s="449"/>
      <c r="W25" s="449"/>
      <c r="X25" s="449"/>
      <c r="Y25" s="449"/>
      <c r="Z25" s="449"/>
      <c r="AA25" s="449"/>
      <c r="AB25" s="449"/>
      <c r="AC25" s="449"/>
      <c r="AD25" s="449"/>
      <c r="AE25" s="449"/>
      <c r="AF25" s="449"/>
      <c r="AG25" s="449"/>
      <c r="AH25" s="449"/>
      <c r="AI25" s="449"/>
      <c r="AJ25" s="449"/>
      <c r="AK25" s="449"/>
      <c r="AL25" s="449"/>
      <c r="AM25" s="449"/>
      <c r="AN25" s="449"/>
      <c r="AO25" s="449"/>
      <c r="AP25" s="449"/>
      <c r="AQ25" s="449"/>
      <c r="AR25" s="449"/>
      <c r="AS25" s="449"/>
      <c r="AT25" s="449"/>
      <c r="AU25" s="449"/>
      <c r="AV25" s="449"/>
      <c r="AW25" s="449"/>
      <c r="AX25" s="449"/>
      <c r="AY25" s="449"/>
      <c r="AZ25" s="449"/>
      <c r="BA25" s="449"/>
      <c r="BB25" s="449"/>
      <c r="BC25" s="449"/>
      <c r="BD25" s="449"/>
      <c r="BE25" s="449"/>
      <c r="BF25" s="449"/>
      <c r="BG25" s="449"/>
      <c r="BH25" s="449"/>
      <c r="BI25" s="449"/>
      <c r="BJ25" s="449"/>
      <c r="BK25" s="449"/>
      <c r="BL25" s="449"/>
    </row>
    <row r="26" customFormat="false" ht="12.75" hidden="false" customHeight="false" outlineLevel="0" collapsed="false">
      <c r="A26" s="0" t="s">
        <v>240</v>
      </c>
      <c r="D26" s="95" t="e">
        <f aca="false">+D22-D25</f>
        <v>#REF!</v>
      </c>
      <c r="E26" s="95" t="e">
        <f aca="false">+E22-E25</f>
        <v>#REF!</v>
      </c>
      <c r="F26" s="95" t="e">
        <f aca="false">+F22-F25</f>
        <v>#REF!</v>
      </c>
      <c r="G26" s="95" t="e">
        <f aca="false">+G22-G25</f>
        <v>#REF!</v>
      </c>
      <c r="H26" s="95" t="e">
        <f aca="false">+H22-H25</f>
        <v>#REF!</v>
      </c>
      <c r="I26" s="95" t="e">
        <f aca="false">+I22-I25</f>
        <v>#REF!</v>
      </c>
      <c r="J26" s="95" t="e">
        <f aca="false">+J22-J25</f>
        <v>#REF!</v>
      </c>
      <c r="K26" s="95" t="e">
        <f aca="false">+K22-K25</f>
        <v>#REF!</v>
      </c>
      <c r="L26" s="95" t="e">
        <f aca="false">+L22-L25</f>
        <v>#REF!</v>
      </c>
      <c r="M26" s="95" t="e">
        <f aca="false">+M22-M25</f>
        <v>#REF!</v>
      </c>
      <c r="N26" s="95" t="e">
        <f aca="false">+N22-N25</f>
        <v>#REF!</v>
      </c>
      <c r="O26" s="451" t="s">
        <v>241</v>
      </c>
    </row>
    <row r="27" customFormat="false" ht="12.75" hidden="false" customHeight="false" outlineLevel="0" collapsed="false">
      <c r="B27" s="443"/>
      <c r="C27" s="452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1" t="e">
        <f aca="false">#REF!</f>
        <v>#REF!</v>
      </c>
    </row>
    <row r="28" customFormat="false" ht="12.75" hidden="false" customHeight="false" outlineLevel="0" collapsed="false">
      <c r="A28" s="160" t="s">
        <v>242</v>
      </c>
      <c r="D28" s="95" t="e">
        <f aca="false">D22+D16+'Unlev. Consolid'!H39</f>
        <v>#REF!</v>
      </c>
      <c r="E28" s="95" t="e">
        <f aca="false">E22+E16+'Unlev. Consolid'!I39</f>
        <v>#REF!</v>
      </c>
      <c r="F28" s="95" t="e">
        <f aca="false">F22+F16+'Unlev. Consolid'!J39</f>
        <v>#REF!</v>
      </c>
      <c r="G28" s="95" t="e">
        <f aca="false">G22+G16+'Unlev. Consolid'!K39</f>
        <v>#REF!</v>
      </c>
      <c r="H28" s="95" t="e">
        <f aca="false">H22+H16+'Unlev. Consolid'!L39</f>
        <v>#REF!</v>
      </c>
      <c r="I28" s="95" t="e">
        <f aca="false">I22+I16+'Unlev. Consolid'!M39</f>
        <v>#REF!</v>
      </c>
      <c r="J28" s="95" t="e">
        <f aca="false">J22+J16+'Unlev. Consolid'!N39</f>
        <v>#REF!</v>
      </c>
      <c r="K28" s="95" t="e">
        <f aca="false">K22+K16+'Unlev. Consolid'!O39</f>
        <v>#REF!</v>
      </c>
      <c r="L28" s="95" t="e">
        <f aca="false">L22+L16+'Unlev. Consolid'!P39</f>
        <v>#REF!</v>
      </c>
      <c r="M28" s="95" t="e">
        <f aca="false">M22+M16+'Unlev. Consolid'!Q39</f>
        <v>#REF!</v>
      </c>
      <c r="N28" s="95" t="e">
        <f aca="false">N22+N16+'Unlev. Consolid'!R39</f>
        <v>#REF!</v>
      </c>
      <c r="O28" s="95" t="n">
        <f aca="false">'Unlev. Consolid'!S50</f>
        <v>4177441.4099665</v>
      </c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</row>
    <row r="29" customFormat="false" ht="12.75" hidden="false" customHeight="false" outlineLevel="0" collapsed="false">
      <c r="A29" s="0" t="s">
        <v>243</v>
      </c>
      <c r="D29" s="95" t="e">
        <f aca="false">'Unlev. Consolid'!H46</f>
        <v>#REF!</v>
      </c>
      <c r="E29" s="95" t="e">
        <f aca="false">'Unlev. Consolid'!I46</f>
        <v>#REF!</v>
      </c>
      <c r="F29" s="95" t="e">
        <f aca="false">'Unlev. Consolid'!J46</f>
        <v>#REF!</v>
      </c>
      <c r="G29" s="95" t="e">
        <f aca="false">'Unlev. Consolid'!K46</f>
        <v>#REF!</v>
      </c>
      <c r="H29" s="95" t="e">
        <f aca="false">'Unlev. Consolid'!L46</f>
        <v>#REF!</v>
      </c>
      <c r="I29" s="95" t="e">
        <f aca="false">'Unlev. Consolid'!M46</f>
        <v>#REF!</v>
      </c>
      <c r="J29" s="95" t="e">
        <f aca="false">'Unlev. Consolid'!N46</f>
        <v>#REF!</v>
      </c>
      <c r="K29" s="95" t="e">
        <f aca="false">'Unlev. Consolid'!O46</f>
        <v>#REF!</v>
      </c>
      <c r="L29" s="95" t="e">
        <f aca="false">'Unlev. Consolid'!P46</f>
        <v>#REF!</v>
      </c>
      <c r="M29" s="95" t="e">
        <f aca="false">'Unlev. Consolid'!Q46</f>
        <v>#REF!</v>
      </c>
      <c r="N29" s="95" t="e">
        <f aca="false">'Unlev. Consolid'!R46</f>
        <v>#REF!</v>
      </c>
      <c r="P29" s="449"/>
      <c r="Q29" s="449"/>
      <c r="R29" s="449"/>
      <c r="S29" s="449"/>
      <c r="T29" s="449"/>
      <c r="U29" s="449"/>
      <c r="V29" s="449"/>
      <c r="W29" s="449"/>
      <c r="X29" s="449"/>
      <c r="Y29" s="449"/>
      <c r="Z29" s="449"/>
      <c r="AA29" s="449"/>
      <c r="AB29" s="449"/>
      <c r="AC29" s="449"/>
      <c r="AD29" s="449"/>
      <c r="AE29" s="449"/>
      <c r="AF29" s="449"/>
      <c r="AG29" s="449"/>
      <c r="AH29" s="449"/>
      <c r="AI29" s="449"/>
    </row>
    <row r="30" customFormat="false" ht="12.75" hidden="false" customHeight="false" outlineLevel="0" collapsed="false">
      <c r="A30" s="0" t="s">
        <v>244</v>
      </c>
      <c r="B30" s="454"/>
      <c r="D30" s="95" t="n">
        <f aca="false">Debt!E25+Debt!E26</f>
        <v>145278.4850941</v>
      </c>
      <c r="E30" s="95" t="n">
        <f aca="false">Debt!F25+Debt!F26</f>
        <v>145278.4850941</v>
      </c>
      <c r="F30" s="95" t="n">
        <f aca="false">Debt!G25+Debt!G26</f>
        <v>145278.4850941</v>
      </c>
      <c r="G30" s="95" t="n">
        <f aca="false">Debt!H25+Debt!H26</f>
        <v>145278.4850941</v>
      </c>
      <c r="H30" s="95" t="n">
        <f aca="false">Debt!I25+Debt!I26</f>
        <v>145278.4850941</v>
      </c>
      <c r="I30" s="95" t="n">
        <f aca="false">Debt!J25+Debt!J26</f>
        <v>145278.4850941</v>
      </c>
      <c r="J30" s="95" t="n">
        <f aca="false">Debt!K25+Debt!K26</f>
        <v>145278.4850941</v>
      </c>
      <c r="K30" s="95" t="n">
        <f aca="false">Debt!L25+Debt!L26</f>
        <v>145278.4850941</v>
      </c>
      <c r="L30" s="95" t="n">
        <f aca="false">Debt!M25+Debt!M26</f>
        <v>145278.4850941</v>
      </c>
      <c r="M30" s="95" t="n">
        <f aca="false">Debt!N25+Debt!N26</f>
        <v>145278.4850941</v>
      </c>
      <c r="N30" s="95" t="n">
        <f aca="false">Debt!O25+Debt!O26</f>
        <v>0</v>
      </c>
      <c r="O30" s="95" t="n">
        <f aca="false">Debt!P25+Debt!P26</f>
        <v>0</v>
      </c>
    </row>
    <row r="31" customFormat="false" ht="12.75" hidden="false" customHeight="false" outlineLevel="0" collapsed="false">
      <c r="A31" s="455" t="s">
        <v>245</v>
      </c>
      <c r="B31" s="456"/>
      <c r="C31" s="299"/>
      <c r="D31" s="442" t="e">
        <f aca="false">(D28-D29-D30)</f>
        <v>#REF!</v>
      </c>
      <c r="E31" s="442" t="e">
        <f aca="false">(E28-E29-E30)</f>
        <v>#REF!</v>
      </c>
      <c r="F31" s="442" t="e">
        <f aca="false">(F28-F29-F30)</f>
        <v>#REF!</v>
      </c>
      <c r="G31" s="442" t="e">
        <f aca="false">(G28-G29-G30)</f>
        <v>#REF!</v>
      </c>
      <c r="H31" s="442" t="e">
        <f aca="false">(H28-H29-H30)</f>
        <v>#REF!</v>
      </c>
      <c r="I31" s="442" t="e">
        <f aca="false">(I28-I29-I30)</f>
        <v>#REF!</v>
      </c>
      <c r="J31" s="442" t="e">
        <f aca="false">(J28-J29-J30)</f>
        <v>#REF!</v>
      </c>
      <c r="K31" s="442" t="e">
        <f aca="false">(K28-K29-K30)</f>
        <v>#REF!</v>
      </c>
      <c r="L31" s="442" t="e">
        <f aca="false">(L28-L29-L30)</f>
        <v>#REF!</v>
      </c>
      <c r="M31" s="442" t="e">
        <f aca="false">(M28-M29-M30)</f>
        <v>#REF!</v>
      </c>
      <c r="N31" s="442" t="e">
        <f aca="false">(N28-N29-N30)</f>
        <v>#REF!</v>
      </c>
      <c r="O31" s="442" t="n">
        <f aca="false">(O28-O29-O30)</f>
        <v>4177441.4099665</v>
      </c>
    </row>
    <row r="32" customFormat="false" ht="12.75" hidden="false" customHeight="false" outlineLevel="0" collapsed="false">
      <c r="A32" s="371" t="s">
        <v>246</v>
      </c>
      <c r="B32" s="457" t="n">
        <f aca="false">Assumptions!D10</f>
        <v>1</v>
      </c>
      <c r="C32" s="458" t="n">
        <f aca="false">-C9</f>
        <v>-6295.47418822013</v>
      </c>
      <c r="D32" s="458" t="e">
        <f aca="false">$B$32*D31</f>
        <v>#REF!</v>
      </c>
      <c r="E32" s="458" t="e">
        <f aca="false">$B$32*E31</f>
        <v>#REF!</v>
      </c>
      <c r="F32" s="458" t="e">
        <f aca="false">$B$32*F31</f>
        <v>#REF!</v>
      </c>
      <c r="G32" s="458" t="e">
        <f aca="false">$B$32*G31</f>
        <v>#REF!</v>
      </c>
      <c r="H32" s="458" t="e">
        <f aca="false">$B$32*H31</f>
        <v>#REF!</v>
      </c>
      <c r="I32" s="458" t="e">
        <f aca="false">$B$32*I31</f>
        <v>#REF!</v>
      </c>
      <c r="J32" s="458" t="e">
        <f aca="false">$B$32*J31</f>
        <v>#REF!</v>
      </c>
      <c r="K32" s="458" t="e">
        <f aca="false">$B$32*K31</f>
        <v>#REF!</v>
      </c>
      <c r="L32" s="458" t="e">
        <f aca="false">$B$32*L31</f>
        <v>#REF!</v>
      </c>
      <c r="M32" s="458" t="e">
        <f aca="false">$B$32*M31</f>
        <v>#REF!</v>
      </c>
      <c r="N32" s="458" t="e">
        <f aca="false">$B$32*N31</f>
        <v>#REF!</v>
      </c>
      <c r="O32" s="458" t="n">
        <f aca="false">$B$32*O31</f>
        <v>4177441.4099665</v>
      </c>
    </row>
    <row r="33" customFormat="false" ht="12.75" hidden="false" customHeight="false" outlineLevel="0" collapsed="false">
      <c r="B33" s="78"/>
      <c r="C33" s="459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</row>
    <row r="34" customFormat="false" ht="15" hidden="false" customHeight="false" outlineLevel="0" collapsed="false">
      <c r="A34" s="461" t="s">
        <v>247</v>
      </c>
      <c r="C34" s="459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</row>
    <row r="35" customFormat="false" ht="12.75" hidden="false" customHeight="false" outlineLevel="0" collapsed="false">
      <c r="A35" s="0" t="s">
        <v>248</v>
      </c>
      <c r="B35" s="459"/>
      <c r="D35" s="462" t="n">
        <f aca="false">D15/D19</f>
        <v>3.06695562235569</v>
      </c>
      <c r="E35" s="462" t="n">
        <f aca="false">E15/E19</f>
        <v>3.42486541580455</v>
      </c>
      <c r="F35" s="462" t="n">
        <f aca="false">F15/F19</f>
        <v>3.8722939966113</v>
      </c>
      <c r="G35" s="462" t="n">
        <f aca="false">G15/G19</f>
        <v>4.44650907481759</v>
      </c>
      <c r="H35" s="462" t="n">
        <f aca="false">H15/H19</f>
        <v>5.21189092691312</v>
      </c>
      <c r="I35" s="462" t="n">
        <f aca="false">I15/I19</f>
        <v>6.28095023651348</v>
      </c>
      <c r="J35" s="462" t="n">
        <f aca="false">J15/J19</f>
        <v>7.8837018264673</v>
      </c>
      <c r="K35" s="462" t="n">
        <f aca="false">K15/K19</f>
        <v>10.54971788873</v>
      </c>
      <c r="L35" s="462" t="n">
        <f aca="false">L15/L19</f>
        <v>15.8799237373826</v>
      </c>
      <c r="M35" s="462" t="n">
        <f aca="false">M15/M19</f>
        <v>31.8556801008112</v>
      </c>
      <c r="N35" s="462"/>
      <c r="O35" s="95"/>
      <c r="P35" s="95"/>
      <c r="Q35" s="95"/>
      <c r="R35" s="95"/>
      <c r="S35" s="95"/>
      <c r="T35" s="95"/>
      <c r="U35" s="95"/>
    </row>
    <row r="36" customFormat="false" ht="12.75" hidden="false" customHeight="false" outlineLevel="0" collapsed="false">
      <c r="A36" s="160" t="s">
        <v>249</v>
      </c>
      <c r="B36" s="459"/>
      <c r="D36" s="462" t="n">
        <f aca="false">D15/(D19+D30)</f>
        <v>1.31440955243815</v>
      </c>
      <c r="E36" s="462" t="n">
        <f aca="false">E15/(E19+E30)</f>
        <v>1.38016964517497</v>
      </c>
      <c r="F36" s="462" t="n">
        <f aca="false">F15/(F19+F30)</f>
        <v>1.45211024872924</v>
      </c>
      <c r="G36" s="462" t="n">
        <f aca="false">G15/(G19+G30)</f>
        <v>1.5307654191995</v>
      </c>
      <c r="H36" s="462" t="n">
        <f aca="false">H15/(H19+H30)</f>
        <v>1.61748339111097</v>
      </c>
      <c r="I36" s="462" t="n">
        <f aca="false">I15/(I19+I30)</f>
        <v>1.71298642814004</v>
      </c>
      <c r="J36" s="462" t="n">
        <f aca="false">J15/(J19+J30)</f>
        <v>1.81931580610784</v>
      </c>
      <c r="K36" s="462" t="n">
        <f aca="false">K15/(K19+K30)</f>
        <v>1.93770328568511</v>
      </c>
      <c r="L36" s="462" t="n">
        <f aca="false">L15/(L19+L30)</f>
        <v>2.07129440052817</v>
      </c>
      <c r="M36" s="462" t="n">
        <f aca="false">M15/(M19+M30)</f>
        <v>2.22248930935893</v>
      </c>
      <c r="N36" s="462"/>
      <c r="O36" s="95"/>
    </row>
    <row r="37" customFormat="false" ht="12.75" hidden="false" customHeight="false" outlineLevel="0" collapsed="false">
      <c r="A37" s="160" t="s">
        <v>250</v>
      </c>
      <c r="B37" s="459"/>
      <c r="D37" s="462" t="e">
        <f aca="false">(D15-D29)/(D30+D19+D21)</f>
        <v>#REF!</v>
      </c>
      <c r="E37" s="462" t="e">
        <f aca="false">(E15-E29)/(E30+E19+E21)</f>
        <v>#REF!</v>
      </c>
      <c r="F37" s="462" t="e">
        <f aca="false">(F15-F29)/(F30+F19+F21)</f>
        <v>#REF!</v>
      </c>
      <c r="G37" s="462" t="e">
        <f aca="false">(G15-G29)/(G30+G19+G21)</f>
        <v>#REF!</v>
      </c>
      <c r="H37" s="462" t="e">
        <f aca="false">(H15-H29)/(H30+H19+H21)</f>
        <v>#REF!</v>
      </c>
      <c r="I37" s="462" t="e">
        <f aca="false">(I15-I29)/(I30+I19+I21)</f>
        <v>#REF!</v>
      </c>
      <c r="J37" s="462" t="e">
        <f aca="false">(J15-J29)/(J30+J19+J21)</f>
        <v>#REF!</v>
      </c>
      <c r="K37" s="462" t="e">
        <f aca="false">(K15-K29)/(K30+K19+K21)</f>
        <v>#REF!</v>
      </c>
      <c r="L37" s="462" t="e">
        <f aca="false">(L15-L29)/(L30+L19+L21)</f>
        <v>#REF!</v>
      </c>
      <c r="M37" s="462" t="e">
        <f aca="false">(M15-M29)/(M30+M19+M21)</f>
        <v>#REF!</v>
      </c>
      <c r="N37" s="462" t="e">
        <f aca="false">(N15-N29)/(N30+N19+N21)</f>
        <v>#REF!</v>
      </c>
      <c r="O37" s="95"/>
    </row>
    <row r="38" customFormat="false" ht="12.75" hidden="false" customHeight="false" outlineLevel="0" collapsed="false">
      <c r="A38" s="160"/>
      <c r="B38" s="459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95"/>
    </row>
    <row r="39" customFormat="false" ht="15" hidden="false" customHeight="false" outlineLevel="0" collapsed="false">
      <c r="A39" s="461" t="s">
        <v>251</v>
      </c>
      <c r="B39" s="459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95"/>
    </row>
    <row r="40" customFormat="false" ht="12.75" hidden="false" customHeight="false" outlineLevel="0" collapsed="false">
      <c r="A40" s="0" t="s">
        <v>252</v>
      </c>
      <c r="B40" s="95" t="n">
        <f aca="false">Assumptions!D16</f>
        <v>880000</v>
      </c>
      <c r="C40" s="449" t="s">
        <v>253</v>
      </c>
      <c r="D40" s="463" t="s">
        <v>254</v>
      </c>
      <c r="E40" s="464" t="n">
        <v>0.18</v>
      </c>
      <c r="F40" s="95"/>
      <c r="G40" s="465" t="n">
        <v>1.8</v>
      </c>
      <c r="H40" s="465" t="n">
        <v>2.1</v>
      </c>
      <c r="I40" s="466" t="n">
        <f aca="false">H40*(1+$E40)</f>
        <v>2.478</v>
      </c>
      <c r="J40" s="466" t="n">
        <f aca="false">I40*(1+$E40)</f>
        <v>2.92404</v>
      </c>
      <c r="K40" s="466" t="n">
        <f aca="false">J40*(1+$E40)</f>
        <v>3.4503672</v>
      </c>
      <c r="L40" s="17"/>
      <c r="M40" s="17"/>
      <c r="N40" s="95"/>
      <c r="O40" s="95"/>
      <c r="P40" s="95"/>
      <c r="Q40" s="95"/>
      <c r="R40" s="95"/>
      <c r="S40" s="95"/>
    </row>
    <row r="41" customFormat="false" ht="12.75" hidden="false" customHeight="false" outlineLevel="0" collapsed="false">
      <c r="A41" s="0" t="s">
        <v>255</v>
      </c>
      <c r="D41" s="95"/>
      <c r="E41" s="95"/>
      <c r="F41" s="95"/>
      <c r="G41" s="95" t="e">
        <f aca="false">G40*$B$40+D22*1000</f>
        <v>#REF!</v>
      </c>
      <c r="H41" s="95" t="e">
        <f aca="false">H40*$B$40+E22*1000</f>
        <v>#REF!</v>
      </c>
      <c r="I41" s="95" t="e">
        <f aca="false">I40*$B$40+F22*1000</f>
        <v>#REF!</v>
      </c>
      <c r="J41" s="95" t="e">
        <f aca="false">J40*$B$40+G22*1000</f>
        <v>#REF!</v>
      </c>
      <c r="K41" s="95" t="e">
        <f aca="false">K40*$B$40+H22*1000</f>
        <v>#REF!</v>
      </c>
      <c r="L41" s="17"/>
      <c r="M41" s="17"/>
      <c r="N41" s="467"/>
      <c r="O41" s="467"/>
      <c r="P41" s="467"/>
      <c r="Q41" s="467"/>
      <c r="R41" s="467"/>
      <c r="S41" s="467"/>
    </row>
    <row r="42" customFormat="false" ht="12.75" hidden="false" customHeight="false" outlineLevel="0" collapsed="false">
      <c r="A42" s="17" t="s">
        <v>256</v>
      </c>
      <c r="B42" s="468" t="n">
        <f aca="false">C9</f>
        <v>6295.47418822013</v>
      </c>
      <c r="C42" s="17" t="s">
        <v>257</v>
      </c>
      <c r="D42" s="95"/>
      <c r="E42" s="95"/>
      <c r="F42" s="95"/>
      <c r="G42" s="17"/>
      <c r="H42" s="17"/>
      <c r="I42" s="17"/>
      <c r="J42" s="17"/>
      <c r="K42" s="17"/>
      <c r="L42" s="17"/>
      <c r="M42" s="17"/>
      <c r="N42" s="467"/>
      <c r="O42" s="467"/>
      <c r="P42" s="467"/>
      <c r="Q42" s="467"/>
      <c r="R42" s="467"/>
      <c r="S42" s="467"/>
    </row>
    <row r="43" customFormat="false" ht="12.75" hidden="false" customHeight="false" outlineLevel="0" collapsed="false">
      <c r="A43" s="83" t="s">
        <v>258</v>
      </c>
      <c r="B43" s="469" t="n">
        <f aca="false">Assumptions!D17</f>
        <v>28.3</v>
      </c>
      <c r="C43" s="17"/>
      <c r="D43" s="95"/>
      <c r="E43" s="95"/>
      <c r="F43" s="95"/>
      <c r="G43" s="17"/>
      <c r="H43" s="17"/>
      <c r="I43" s="17"/>
      <c r="J43" s="17"/>
      <c r="K43" s="17"/>
      <c r="L43" s="17"/>
      <c r="M43" s="17"/>
      <c r="N43" s="467"/>
      <c r="O43" s="467"/>
      <c r="P43" s="467"/>
      <c r="Q43" s="467"/>
      <c r="R43" s="467"/>
      <c r="S43" s="467"/>
    </row>
    <row r="44" customFormat="false" ht="12.75" hidden="false" customHeight="false" outlineLevel="0" collapsed="false">
      <c r="A44" s="17" t="s">
        <v>259</v>
      </c>
      <c r="B44" s="95" t="n">
        <f aca="false">B42*1000/B43</f>
        <v>222454.918311665</v>
      </c>
      <c r="C44" s="17"/>
      <c r="D44" s="95"/>
      <c r="E44" s="95"/>
      <c r="F44" s="95"/>
      <c r="G44" s="17"/>
      <c r="H44" s="17"/>
      <c r="I44" s="17"/>
      <c r="J44" s="17"/>
      <c r="K44" s="17"/>
      <c r="L44" s="17"/>
      <c r="M44" s="17"/>
      <c r="N44" s="467"/>
      <c r="O44" s="467"/>
      <c r="P44" s="467"/>
      <c r="Q44" s="467"/>
      <c r="R44" s="467"/>
      <c r="S44" s="467"/>
    </row>
    <row r="45" customFormat="false" ht="15" hidden="false" customHeight="false" outlineLevel="0" collapsed="false">
      <c r="A45" s="0" t="s">
        <v>260</v>
      </c>
      <c r="B45" s="459" t="n">
        <f aca="false">B40+B44</f>
        <v>1102454.91831167</v>
      </c>
      <c r="C45" s="449" t="s">
        <v>253</v>
      </c>
      <c r="D45" s="95"/>
      <c r="E45" s="95"/>
      <c r="F45" s="95"/>
      <c r="G45" s="470" t="e">
        <f aca="false">G41/$B$45</f>
        <v>#REF!</v>
      </c>
      <c r="H45" s="470" t="e">
        <f aca="false">H41/$B$45</f>
        <v>#REF!</v>
      </c>
      <c r="I45" s="470" t="e">
        <f aca="false">I41/$B$45</f>
        <v>#REF!</v>
      </c>
      <c r="J45" s="470" t="e">
        <f aca="false">J41/$B$45</f>
        <v>#REF!</v>
      </c>
      <c r="K45" s="470" t="e">
        <f aca="false">K41/$B$45</f>
        <v>#REF!</v>
      </c>
      <c r="L45" s="471"/>
      <c r="M45" s="471"/>
      <c r="N45" s="467"/>
      <c r="O45" s="467"/>
      <c r="P45" s="467"/>
      <c r="Q45" s="467"/>
      <c r="R45" s="467"/>
      <c r="S45" s="467"/>
    </row>
    <row r="46" customFormat="false" ht="12.75" hidden="false" customHeight="false" outlineLevel="0" collapsed="false">
      <c r="A46" s="0" t="s">
        <v>261</v>
      </c>
      <c r="B46" s="459"/>
      <c r="D46" s="17"/>
      <c r="E46" s="17"/>
      <c r="F46" s="17"/>
      <c r="G46" s="471" t="e">
        <f aca="false">G45-G40</f>
        <v>#REF!</v>
      </c>
      <c r="H46" s="471" t="e">
        <f aca="false">H45-H40</f>
        <v>#REF!</v>
      </c>
      <c r="I46" s="471" t="e">
        <f aca="false">I45-I40</f>
        <v>#REF!</v>
      </c>
      <c r="J46" s="471" t="e">
        <f aca="false">J45-J40</f>
        <v>#REF!</v>
      </c>
      <c r="K46" s="471" t="e">
        <f aca="false">K45-K40</f>
        <v>#REF!</v>
      </c>
      <c r="L46" s="471"/>
      <c r="M46" s="471"/>
      <c r="N46" s="467"/>
      <c r="O46" s="467"/>
      <c r="P46" s="467"/>
      <c r="Q46" s="467"/>
      <c r="R46" s="467"/>
      <c r="S46" s="467"/>
    </row>
    <row r="47" customFormat="false" ht="12.75" hidden="false" customHeight="false" outlineLevel="0" collapsed="false">
      <c r="B47" s="459"/>
      <c r="D47" s="17"/>
      <c r="E47" s="17"/>
      <c r="F47" s="17"/>
      <c r="G47" s="17"/>
      <c r="H47" s="17"/>
      <c r="I47" s="471"/>
      <c r="J47" s="471"/>
      <c r="K47" s="471"/>
      <c r="L47" s="471"/>
      <c r="M47" s="471"/>
      <c r="N47" s="467"/>
      <c r="O47" s="467"/>
      <c r="P47" s="467"/>
      <c r="Q47" s="467"/>
      <c r="R47" s="467"/>
      <c r="S47" s="467"/>
    </row>
    <row r="48" customFormat="false" ht="12.75" hidden="false" customHeight="false" outlineLevel="0" collapsed="false">
      <c r="B48" s="459"/>
      <c r="D48" s="17"/>
      <c r="E48" s="17"/>
      <c r="F48" s="17"/>
      <c r="G48" s="17"/>
      <c r="H48" s="17"/>
      <c r="I48" s="471"/>
      <c r="J48" s="471"/>
      <c r="K48" s="471"/>
      <c r="L48" s="471"/>
      <c r="M48" s="471"/>
      <c r="N48" s="467"/>
      <c r="O48" s="467"/>
      <c r="P48" s="467"/>
      <c r="Q48" s="467"/>
      <c r="R48" s="467"/>
      <c r="S48" s="467"/>
    </row>
    <row r="49" customFormat="false" ht="12.75" hidden="false" customHeight="false" outlineLevel="0" collapsed="false">
      <c r="B49" s="459"/>
      <c r="D49" s="17"/>
      <c r="E49" s="17"/>
      <c r="F49" s="17"/>
      <c r="G49" s="17"/>
      <c r="H49" s="17"/>
      <c r="I49" s="471"/>
      <c r="J49" s="471"/>
      <c r="K49" s="471"/>
      <c r="L49" s="471"/>
      <c r="M49" s="471"/>
      <c r="N49" s="467"/>
      <c r="O49" s="467"/>
      <c r="P49" s="467"/>
      <c r="Q49" s="467"/>
      <c r="R49" s="467"/>
      <c r="S49" s="467"/>
    </row>
    <row r="50" customFormat="false" ht="12.75" hidden="false" customHeight="false" outlineLevel="0" collapsed="false">
      <c r="B50" s="459"/>
      <c r="D50" s="95"/>
      <c r="E50" s="95"/>
      <c r="F50" s="95"/>
      <c r="G50" s="95"/>
      <c r="H50" s="95"/>
      <c r="I50" s="471"/>
      <c r="J50" s="471"/>
      <c r="K50" s="471"/>
      <c r="L50" s="471"/>
      <c r="M50" s="471"/>
      <c r="N50" s="467"/>
      <c r="O50" s="467"/>
      <c r="P50" s="467"/>
      <c r="Q50" s="467"/>
      <c r="R50" s="467"/>
      <c r="S50" s="467"/>
    </row>
    <row r="51" customFormat="false" ht="12.75" hidden="false" customHeight="false" outlineLevel="0" collapsed="false">
      <c r="B51" s="459"/>
      <c r="D51" s="95"/>
      <c r="E51" s="95"/>
      <c r="F51" s="95"/>
      <c r="G51" s="95"/>
      <c r="H51" s="95"/>
      <c r="I51" s="471"/>
      <c r="J51" s="471"/>
      <c r="K51" s="471"/>
      <c r="L51" s="471"/>
      <c r="M51" s="471"/>
      <c r="N51" s="467"/>
      <c r="O51" s="467"/>
      <c r="P51" s="467"/>
      <c r="Q51" s="467"/>
      <c r="R51" s="467"/>
      <c r="S51" s="467"/>
    </row>
    <row r="52" customFormat="false" ht="12.75" hidden="false" customHeight="false" outlineLevel="0" collapsed="false">
      <c r="A52" s="160"/>
      <c r="B52" s="459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95"/>
    </row>
    <row r="53" customFormat="false" ht="12.75" hidden="false" customHeight="false" outlineLevel="0" collapsed="false">
      <c r="A53" s="160"/>
      <c r="B53" s="459"/>
      <c r="D53" s="462"/>
      <c r="E53" s="462"/>
      <c r="F53" s="462"/>
      <c r="G53" s="462"/>
      <c r="H53" s="462"/>
      <c r="I53" s="462"/>
      <c r="J53" s="462"/>
      <c r="K53" s="462"/>
      <c r="L53" s="462"/>
      <c r="M53" s="462"/>
      <c r="N53" s="462"/>
      <c r="O53" s="95"/>
    </row>
    <row r="54" customFormat="false" ht="12.75" hidden="false" customHeight="false" outlineLevel="0" collapsed="false">
      <c r="A54" s="160"/>
      <c r="B54" s="459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95"/>
    </row>
    <row r="55" customFormat="false" ht="12.75" hidden="false" customHeight="false" outlineLevel="0" collapsed="false">
      <c r="A55" s="160"/>
      <c r="B55" s="459"/>
      <c r="D55" s="462"/>
      <c r="E55" s="462"/>
      <c r="F55" s="462"/>
      <c r="G55" s="462"/>
      <c r="H55" s="462"/>
      <c r="I55" s="462"/>
      <c r="J55" s="462"/>
      <c r="K55" s="462"/>
      <c r="L55" s="462"/>
      <c r="M55" s="462"/>
      <c r="N55" s="462"/>
      <c r="O55" s="95"/>
    </row>
    <row r="56" customFormat="false" ht="12.75" hidden="false" customHeight="false" outlineLevel="0" collapsed="false">
      <c r="A56" s="160"/>
      <c r="B56" s="459"/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95"/>
    </row>
    <row r="57" customFormat="false" ht="12.75" hidden="false" customHeight="false" outlineLevel="0" collapsed="false">
      <c r="A57" s="160"/>
      <c r="B57" s="459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62"/>
      <c r="O57" s="95"/>
    </row>
    <row r="58" customFormat="false" ht="12.75" hidden="false" customHeight="false" outlineLevel="0" collapsed="false">
      <c r="A58" s="160"/>
      <c r="B58" s="459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95"/>
      <c r="O58" s="95"/>
    </row>
    <row r="60" customFormat="false" ht="12.75" hidden="false" customHeight="false" outlineLevel="0" collapsed="false">
      <c r="N60" s="462"/>
      <c r="P60" s="472"/>
      <c r="Q60" s="472"/>
      <c r="R60" s="472"/>
      <c r="S60" s="472"/>
      <c r="T60" s="472"/>
    </row>
    <row r="61" customFormat="false" ht="12.75" hidden="false" customHeight="false" outlineLevel="0" collapsed="false">
      <c r="N61" s="462"/>
      <c r="P61" s="472"/>
      <c r="Q61" s="472"/>
      <c r="R61" s="472"/>
      <c r="S61" s="472"/>
      <c r="T61" s="472"/>
      <c r="U61" s="472"/>
    </row>
    <row r="66" customFormat="false" ht="15.75" hidden="false" customHeight="false" outlineLevel="0" collapsed="false">
      <c r="D66" s="33" t="s">
        <v>262</v>
      </c>
    </row>
    <row r="67" customFormat="false" ht="13.5" hidden="false" customHeight="false" outlineLevel="0" collapsed="false"/>
    <row r="68" customFormat="false" ht="12.75" hidden="false" customHeight="false" outlineLevel="0" collapsed="false">
      <c r="D68" s="9"/>
      <c r="E68" s="10" t="s">
        <v>263</v>
      </c>
      <c r="F68" s="10"/>
      <c r="G68" s="12"/>
    </row>
    <row r="69" customFormat="false" ht="12.75" hidden="false" customHeight="false" outlineLevel="0" collapsed="false">
      <c r="D69" s="473" t="s">
        <v>264</v>
      </c>
      <c r="E69" s="474" t="n">
        <f aca="false">F6</f>
        <v>0.1</v>
      </c>
      <c r="F69" s="474" t="n">
        <f aca="false">G6</f>
        <v>0.125</v>
      </c>
      <c r="G69" s="475" t="n">
        <f aca="false">H6</f>
        <v>0.15</v>
      </c>
    </row>
    <row r="70" customFormat="false" ht="12.75" hidden="false" customHeight="false" outlineLevel="0" collapsed="false">
      <c r="D70" s="476" t="n">
        <f aca="false">B8</f>
        <v>0.5</v>
      </c>
      <c r="E70" s="477" t="e">
        <f aca="false">F7</f>
        <v>#REF!</v>
      </c>
      <c r="F70" s="477" t="e">
        <f aca="false">G7</f>
        <v>#REF!</v>
      </c>
      <c r="G70" s="478" t="e">
        <f aca="false">H7</f>
        <v>#REF!</v>
      </c>
    </row>
    <row r="71" customFormat="false" ht="12.75" hidden="false" customHeight="false" outlineLevel="0" collapsed="false">
      <c r="D71" s="479" t="n">
        <v>0.2</v>
      </c>
      <c r="E71" s="480" t="e">
        <f aca="true">TABLE(E$70,$B$8,$D71)</f>
        <v>#REF!</v>
      </c>
      <c r="F71" s="480" t="e">
        <f aca="true">TABLE(F$70,$B$8,$D71)</f>
        <v>#REF!</v>
      </c>
      <c r="G71" s="481" t="e">
        <f aca="true">TABLE(G$70,$B$8,$D71)</f>
        <v>#REF!</v>
      </c>
    </row>
    <row r="72" customFormat="false" ht="12.75" hidden="false" customHeight="false" outlineLevel="0" collapsed="false">
      <c r="D72" s="479" t="n">
        <f aca="false">D71+10%</f>
        <v>0.3</v>
      </c>
      <c r="E72" s="480" t="e">
        <f aca="true">TABLE(E$70,$B$8,$D72)</f>
        <v>#REF!</v>
      </c>
      <c r="F72" s="480" t="e">
        <f aca="true">TABLE(F$70,$B$8,$D72)</f>
        <v>#REF!</v>
      </c>
      <c r="G72" s="481" t="e">
        <f aca="true">TABLE(G$70,$B$8,$D72)</f>
        <v>#REF!</v>
      </c>
    </row>
    <row r="73" customFormat="false" ht="12.75" hidden="false" customHeight="false" outlineLevel="0" collapsed="false">
      <c r="D73" s="479" t="n">
        <f aca="false">D72+10%</f>
        <v>0.4</v>
      </c>
      <c r="E73" s="480" t="e">
        <f aca="true">TABLE(E$70,$B$8,$D73)</f>
        <v>#REF!</v>
      </c>
      <c r="F73" s="480" t="e">
        <f aca="true">TABLE(F$70,$B$8,$D73)</f>
        <v>#REF!</v>
      </c>
      <c r="G73" s="481" t="e">
        <f aca="true">TABLE(G$70,$B$8,$D73)</f>
        <v>#REF!</v>
      </c>
    </row>
    <row r="74" customFormat="false" ht="12.75" hidden="false" customHeight="false" outlineLevel="0" collapsed="false">
      <c r="D74" s="479" t="n">
        <f aca="false">D73+10%</f>
        <v>0.5</v>
      </c>
      <c r="E74" s="480" t="e">
        <f aca="true">TABLE(E$70,$B$8,$D74)</f>
        <v>#REF!</v>
      </c>
      <c r="F74" s="480" t="e">
        <f aca="true">TABLE(F$70,$B$8,$D74)</f>
        <v>#REF!</v>
      </c>
      <c r="G74" s="481" t="e">
        <f aca="true">TABLE(G$70,$B$8,$D74)</f>
        <v>#REF!</v>
      </c>
    </row>
    <row r="75" customFormat="false" ht="12.75" hidden="false" customHeight="false" outlineLevel="0" collapsed="false">
      <c r="D75" s="479" t="n">
        <v>0.6</v>
      </c>
      <c r="E75" s="480" t="e">
        <f aca="true">TABLE(E$70,$B$8,$D75)</f>
        <v>#REF!</v>
      </c>
      <c r="F75" s="480" t="e">
        <f aca="true">TABLE(F$70,$B$8,$D75)</f>
        <v>#REF!</v>
      </c>
      <c r="G75" s="481" t="e">
        <f aca="true">TABLE(G$70,$B$8,$D75)</f>
        <v>#REF!</v>
      </c>
    </row>
    <row r="76" customFormat="false" ht="12.75" hidden="false" customHeight="false" outlineLevel="0" collapsed="false">
      <c r="D76" s="479" t="n">
        <f aca="false">D75+10%</f>
        <v>0.7</v>
      </c>
      <c r="E76" s="480" t="e">
        <f aca="true">TABLE(E$70,$B$8,$D76)</f>
        <v>#REF!</v>
      </c>
      <c r="F76" s="480" t="e">
        <f aca="true">TABLE(F$70,$B$8,$D76)</f>
        <v>#REF!</v>
      </c>
      <c r="G76" s="481" t="e">
        <f aca="true">TABLE(G$70,$B$8,$D76)</f>
        <v>#REF!</v>
      </c>
    </row>
    <row r="77" customFormat="false" ht="12.75" hidden="false" customHeight="false" outlineLevel="0" collapsed="false">
      <c r="D77" s="479" t="n">
        <f aca="false">D76+10%</f>
        <v>0.8</v>
      </c>
      <c r="E77" s="480" t="e">
        <f aca="true">TABLE(E$70,$B$8,$D77)</f>
        <v>#REF!</v>
      </c>
      <c r="F77" s="480" t="e">
        <f aca="true">TABLE(F$70,$B$8,$D77)</f>
        <v>#REF!</v>
      </c>
      <c r="G77" s="481" t="e">
        <f aca="true">TABLE(G$70,$B$8,$D77)</f>
        <v>#REF!</v>
      </c>
    </row>
    <row r="78" customFormat="false" ht="12.75" hidden="false" customHeight="false" outlineLevel="0" collapsed="false">
      <c r="D78" s="479" t="n">
        <f aca="false">D77+10%</f>
        <v>0.9</v>
      </c>
      <c r="E78" s="480" t="e">
        <f aca="true">TABLE(E$70,$B$8,$D78)</f>
        <v>#REF!</v>
      </c>
      <c r="F78" s="480" t="e">
        <f aca="true">TABLE(F$70,$B$8,$D78)</f>
        <v>#REF!</v>
      </c>
      <c r="G78" s="481" t="e">
        <f aca="true">TABLE(G$70,$B$8,$D78)</f>
        <v>#REF!</v>
      </c>
    </row>
    <row r="79" customFormat="false" ht="13.5" hidden="false" customHeight="false" outlineLevel="0" collapsed="false">
      <c r="D79" s="482" t="n">
        <v>0.99</v>
      </c>
      <c r="E79" s="483" t="e">
        <f aca="true">TABLE(E$70,$B$8,$D79)</f>
        <v>#REF!</v>
      </c>
      <c r="F79" s="483" t="e">
        <f aca="true">TABLE(F$70,$B$8,$D79)</f>
        <v>#REF!</v>
      </c>
      <c r="G79" s="484" t="e">
        <f aca="true">TABLE(G$70,$B$8,$D79)</f>
        <v>#REF!</v>
      </c>
    </row>
  </sheetData>
  <mergeCells count="1">
    <mergeCell ref="F4:H4"/>
  </mergeCells>
  <printOptions headings="false" gridLines="false" gridLinesSet="true" horizontalCentered="false" verticalCentered="false"/>
  <pageMargins left="0.170138888888889" right="0.170138888888889" top="0.8" bottom="0.770138888888889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9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87" activeCellId="0" sqref="O87"/>
    </sheetView>
  </sheetViews>
  <sheetFormatPr defaultColWidth="9.0546875" defaultRowHeight="12.75" customHeight="true" zeroHeight="false" outlineLevelRow="1" outlineLevelCol="0"/>
  <cols>
    <col collapsed="false" customWidth="true" hidden="false" outlineLevel="0" max="1" min="1" style="0" width="36.56"/>
    <col collapsed="false" customWidth="true" hidden="false" outlineLevel="0" max="2" min="2" style="0" width="14.85"/>
    <col collapsed="false" customWidth="true" hidden="false" outlineLevel="0" max="3" min="3" style="0" width="13.7"/>
    <col collapsed="false" customWidth="true" hidden="false" outlineLevel="0" max="5" min="4" style="0" width="10.99"/>
    <col collapsed="false" customWidth="true" hidden="false" outlineLevel="0" max="6" min="6" style="0" width="13.85"/>
    <col collapsed="false" customWidth="true" hidden="false" outlineLevel="0" max="7" min="7" style="17" width="14.14"/>
    <col collapsed="false" customWidth="true" hidden="false" outlineLevel="0" max="8" min="8" style="0" width="11.28"/>
    <col collapsed="false" customWidth="true" hidden="false" outlineLevel="0" max="10" min="9" style="0" width="12.28"/>
    <col collapsed="false" customWidth="true" hidden="false" outlineLevel="0" max="11" min="11" style="0" width="14.28"/>
    <col collapsed="false" customWidth="true" hidden="false" outlineLevel="0" max="12" min="12" style="0" width="12.85"/>
    <col collapsed="false" customWidth="true" hidden="false" outlineLevel="0" max="13" min="13" style="0" width="14.99"/>
    <col collapsed="false" customWidth="true" hidden="false" outlineLevel="0" max="14" min="14" style="0" width="12.85"/>
    <col collapsed="false" customWidth="true" hidden="false" outlineLevel="0" max="15" min="15" style="0" width="12.28"/>
    <col collapsed="false" customWidth="true" hidden="false" outlineLevel="0" max="16" min="16" style="0" width="12.85"/>
    <col collapsed="false" customWidth="true" hidden="false" outlineLevel="0" max="17" min="17" style="0" width="12.28"/>
    <col collapsed="false" customWidth="true" hidden="false" outlineLevel="0" max="18" min="18" style="0" width="12.85"/>
    <col collapsed="false" customWidth="true" hidden="false" outlineLevel="0" max="19" min="19" style="0" width="12.28"/>
    <col collapsed="false" customWidth="true" hidden="false" outlineLevel="0" max="20" min="20" style="0" width="11.28"/>
  </cols>
  <sheetData>
    <row r="1" customFormat="false" ht="21" hidden="false" customHeight="false" outlineLevel="0" collapsed="false">
      <c r="A1" s="57" t="str">
        <f aca="false">"Project "&amp;Assumptions!D7</f>
        <v>Project Wolverine</v>
      </c>
      <c r="B1" s="10"/>
      <c r="C1" s="12"/>
    </row>
    <row r="2" customFormat="false" ht="16.5" hidden="false" customHeight="false" outlineLevel="0" collapsed="false">
      <c r="A2" s="485" t="s">
        <v>265</v>
      </c>
      <c r="B2" s="485"/>
      <c r="C2" s="485"/>
      <c r="F2" s="486" t="s">
        <v>50</v>
      </c>
      <c r="G2" s="487"/>
      <c r="H2" s="10"/>
      <c r="I2" s="10"/>
      <c r="J2" s="10"/>
      <c r="K2" s="12"/>
    </row>
    <row r="3" customFormat="false" ht="12.75" hidden="false" customHeight="false" outlineLevel="0" collapsed="false">
      <c r="A3" s="488"/>
      <c r="B3" s="489"/>
      <c r="C3" s="489"/>
      <c r="F3" s="71" t="str">
        <f aca="false">IF(K87="","","Warning: Check the Consolidated Purchase Price and the separate Asset Purchase Price")</f>
        <v/>
      </c>
      <c r="H3" s="17"/>
      <c r="I3" s="17"/>
      <c r="J3" s="17"/>
      <c r="K3" s="19"/>
    </row>
    <row r="4" customFormat="false" ht="13.5" hidden="false" customHeight="false" outlineLevel="0" collapsed="false">
      <c r="A4" s="490"/>
      <c r="F4" s="491" t="e">
        <f aca="false">IF(CLoop&lt;&gt;0,"Run Macro","")</f>
        <v>#REF!</v>
      </c>
      <c r="G4" s="492"/>
      <c r="H4" s="493"/>
      <c r="I4" s="494"/>
      <c r="J4" s="28"/>
      <c r="K4" s="30"/>
    </row>
    <row r="5" customFormat="false" ht="12.75" hidden="false" customHeight="false" outlineLevel="0" collapsed="false">
      <c r="A5" s="490"/>
      <c r="F5" s="495"/>
      <c r="G5" s="496"/>
      <c r="H5" s="495"/>
      <c r="I5" s="83"/>
      <c r="J5" s="17"/>
      <c r="K5" s="17"/>
    </row>
    <row r="6" customFormat="false" ht="15.75" hidden="false" customHeight="false" outlineLevel="0" collapsed="false">
      <c r="A6" s="497" t="s">
        <v>266</v>
      </c>
      <c r="B6" s="498"/>
      <c r="C6" s="131"/>
      <c r="D6" s="499"/>
      <c r="E6" s="499"/>
      <c r="F6" s="131"/>
      <c r="G6" s="500"/>
      <c r="H6" s="500"/>
      <c r="I6" s="500"/>
      <c r="J6" s="131"/>
      <c r="K6" s="131"/>
      <c r="L6" s="131"/>
      <c r="M6" s="131"/>
      <c r="N6" s="131"/>
      <c r="O6" s="131"/>
      <c r="P6" s="131"/>
      <c r="Q6" s="131"/>
      <c r="R6" s="131"/>
    </row>
    <row r="7" customFormat="false" ht="15.75" hidden="false" customHeight="false" outlineLevel="0" collapsed="false">
      <c r="A7" s="501"/>
      <c r="B7" s="502"/>
      <c r="C7" s="503"/>
      <c r="D7" s="504"/>
      <c r="E7" s="505"/>
      <c r="F7" s="505"/>
      <c r="G7" s="295"/>
      <c r="H7" s="306" t="s">
        <v>192</v>
      </c>
      <c r="I7" s="307"/>
      <c r="J7" s="295"/>
      <c r="K7" s="295"/>
      <c r="L7" s="176"/>
      <c r="M7" s="295"/>
      <c r="N7" s="176"/>
      <c r="O7" s="176"/>
      <c r="P7" s="176"/>
      <c r="Q7" s="176"/>
      <c r="R7" s="103"/>
    </row>
    <row r="8" customFormat="false" ht="15.75" hidden="false" customHeight="false" outlineLevel="0" collapsed="false">
      <c r="A8" s="501"/>
      <c r="B8" s="502"/>
      <c r="C8" s="503"/>
      <c r="D8" s="504"/>
      <c r="E8" s="308" t="n">
        <v>1998</v>
      </c>
      <c r="F8" s="308" t="n">
        <v>1999</v>
      </c>
      <c r="G8" s="308" t="n">
        <v>2000</v>
      </c>
      <c r="H8" s="308" t="n">
        <v>2001</v>
      </c>
      <c r="I8" s="309" t="n">
        <v>2002</v>
      </c>
      <c r="J8" s="309" t="n">
        <v>2003</v>
      </c>
      <c r="K8" s="309" t="n">
        <v>2004</v>
      </c>
      <c r="L8" s="309" t="n">
        <v>2005</v>
      </c>
      <c r="M8" s="309" t="n">
        <v>2006</v>
      </c>
      <c r="N8" s="310" t="n">
        <v>2007</v>
      </c>
      <c r="O8" s="310" t="n">
        <v>2008</v>
      </c>
      <c r="P8" s="310" t="n">
        <v>2009</v>
      </c>
      <c r="Q8" s="310" t="n">
        <v>2010</v>
      </c>
      <c r="R8" s="441" t="n">
        <v>2011</v>
      </c>
    </row>
    <row r="9" customFormat="false" ht="15.75" hidden="false" customHeight="false" outlineLevel="0" collapsed="false">
      <c r="A9" s="501"/>
      <c r="B9" s="502"/>
      <c r="C9" s="503"/>
      <c r="D9" s="504"/>
      <c r="E9" s="449"/>
      <c r="F9" s="449"/>
      <c r="G9" s="312" t="s">
        <v>193</v>
      </c>
      <c r="H9" s="308" t="n">
        <v>1</v>
      </c>
      <c r="I9" s="309" t="n">
        <v>2</v>
      </c>
      <c r="J9" s="309" t="n">
        <v>3</v>
      </c>
      <c r="K9" s="309" t="n">
        <v>4</v>
      </c>
      <c r="L9" s="309" t="n">
        <v>5</v>
      </c>
      <c r="M9" s="309" t="n">
        <v>6</v>
      </c>
      <c r="N9" s="309" t="n">
        <v>7</v>
      </c>
      <c r="O9" s="309" t="n">
        <v>8</v>
      </c>
      <c r="P9" s="309" t="n">
        <v>9</v>
      </c>
      <c r="Q9" s="309" t="n">
        <v>10</v>
      </c>
      <c r="R9" s="387" t="n">
        <v>11</v>
      </c>
    </row>
    <row r="10" customFormat="false" ht="12.75" hidden="false" customHeight="false" outlineLevel="0" collapsed="false">
      <c r="A10" s="506" t="s">
        <v>267</v>
      </c>
      <c r="B10" s="507" t="s">
        <v>268</v>
      </c>
      <c r="E10" s="508"/>
      <c r="F10" s="509"/>
      <c r="G10" s="510"/>
      <c r="H10" s="508"/>
    </row>
    <row r="11" customFormat="false" ht="12.75" hidden="false" customHeight="false" outlineLevel="0" collapsed="false">
      <c r="A11" s="511" t="str">
        <f aca="false">'Pipeline Co DCF'!A2</f>
        <v>Panhandle Eastern</v>
      </c>
      <c r="B11" s="512" t="n">
        <f aca="false">Assumptions!C38</f>
        <v>1</v>
      </c>
      <c r="C11" s="120"/>
      <c r="E11" s="513" t="n">
        <f aca="false">'Pipeline Co DCF'!D11*$B$11</f>
        <v>496000</v>
      </c>
      <c r="F11" s="513" t="n">
        <f aca="false">'Pipeline Co DCF'!E11*$B$11</f>
        <v>471000</v>
      </c>
      <c r="G11" s="513" t="n">
        <f aca="false">'Pipeline Co DCF'!F11*$B$11</f>
        <v>483000</v>
      </c>
      <c r="H11" s="513" t="n">
        <f aca="false">'Pipeline Co DCF'!G11*$B$11</f>
        <v>540000</v>
      </c>
      <c r="I11" s="95" t="n">
        <f aca="false">'Pipeline Co DCF'!H11*$B$11</f>
        <v>546740</v>
      </c>
      <c r="J11" s="95" t="n">
        <f aca="false">'Pipeline Co DCF'!I11*$B$11</f>
        <v>553577.8</v>
      </c>
      <c r="K11" s="95" t="n">
        <f aca="false">'Pipeline Co DCF'!J11*$B$11</f>
        <v>560515.094</v>
      </c>
      <c r="L11" s="95" t="n">
        <f aca="false">'Pipeline Co DCF'!K11*$B$11</f>
        <v>567553.6105</v>
      </c>
      <c r="M11" s="95" t="n">
        <f aca="false">'Pipeline Co DCF'!L11*$B$11</f>
        <v>574695.1132934</v>
      </c>
      <c r="N11" s="95" t="n">
        <f aca="false">'Pipeline Co DCF'!M11*$B$11</f>
        <v>581941.402280218</v>
      </c>
      <c r="O11" s="95" t="n">
        <f aca="false">'Pipeline Co DCF'!N11*$B$11</f>
        <v>589294.314300649</v>
      </c>
      <c r="P11" s="95" t="n">
        <f aca="false">'Pipeline Co DCF'!O11*$B$11</f>
        <v>596755.723989505</v>
      </c>
      <c r="Q11" s="95" t="n">
        <f aca="false">'Pipeline Co DCF'!P11*$B$11</f>
        <v>604327.544652082</v>
      </c>
      <c r="R11" s="95" t="n">
        <f aca="false">'Pipeline Co DCF'!Q11*$B$11</f>
        <v>612011.729162031</v>
      </c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customFormat="false" ht="12.75" hidden="false" customHeight="false" outlineLevel="0" collapsed="false">
      <c r="A12" s="511" t="str">
        <f aca="false">Assumptions!B41</f>
        <v>Consumers Energy</v>
      </c>
      <c r="B12" s="512" t="n">
        <f aca="false">Assumptions!C41</f>
        <v>1</v>
      </c>
      <c r="C12" s="120"/>
      <c r="E12" s="513" t="n">
        <f aca="false">'Consumers DCF'!D11*$B$12</f>
        <v>3657</v>
      </c>
      <c r="F12" s="513" t="n">
        <f aca="false">'Consumers DCF'!E11*$B$12</f>
        <v>3823</v>
      </c>
      <c r="G12" s="513" t="n">
        <f aca="false">'Consumers DCF'!F11*$B$12</f>
        <v>3872</v>
      </c>
      <c r="H12" s="513" t="n">
        <f aca="false">'Consumers DCF'!G11*$B$12</f>
        <v>4136</v>
      </c>
      <c r="I12" s="95" t="n">
        <f aca="false">'Consumers DCF'!H11*$B$12</f>
        <v>4192.94</v>
      </c>
      <c r="J12" s="95" t="n">
        <f aca="false">'Consumers DCF'!I11*$B$12</f>
        <v>4250.761</v>
      </c>
      <c r="K12" s="95" t="n">
        <f aca="false">'Consumers DCF'!J11*$B$12</f>
        <v>4309.478042</v>
      </c>
      <c r="L12" s="95" t="n">
        <f aca="false">'Consumers DCF'!K11*$B$12</f>
        <v>4369.10644306</v>
      </c>
      <c r="M12" s="95" t="n">
        <f aca="false">'Consumers DCF'!L11*$B$12</f>
        <v>4429.6618005434</v>
      </c>
      <c r="N12" s="95" t="n">
        <f aca="false">'Consumers DCF'!M11*$B$12</f>
        <v>4491.15999746269</v>
      </c>
      <c r="O12" s="95" t="n">
        <f aca="false">'Consumers DCF'!N11*$B$12</f>
        <v>4553.61720792945</v>
      </c>
      <c r="P12" s="95" t="n">
        <f aca="false">'Consumers DCF'!O11*$B$12</f>
        <v>4617.04990271072</v>
      </c>
      <c r="Q12" s="95" t="n">
        <f aca="false">'Consumers DCF'!P11*$B$12</f>
        <v>4681.47485489384</v>
      </c>
      <c r="R12" s="95" t="n">
        <f aca="false">'Consumers DCF'!Q11*$B$12</f>
        <v>4746.90914566192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customFormat="false" ht="12.75" hidden="false" customHeight="false" outlineLevel="0" collapsed="false">
      <c r="A13" s="511" t="str">
        <f aca="false">Assumptions!B44</f>
        <v>Other</v>
      </c>
      <c r="B13" s="512" t="n">
        <f aca="false">Assumptions!C44</f>
        <v>1</v>
      </c>
      <c r="C13" s="120"/>
      <c r="E13" s="513" t="n">
        <f aca="false">'Corp DCF'!D11*$B$13</f>
        <v>1324</v>
      </c>
      <c r="F13" s="513" t="n">
        <f aca="false">'Corp DCF'!E11*$B$13</f>
        <v>1495</v>
      </c>
      <c r="G13" s="513" t="n">
        <f aca="false">'Corp DCF'!F11*$B$13</f>
        <v>4220</v>
      </c>
      <c r="H13" s="513" t="n">
        <f aca="false">'Corp DCF'!G11*$B$13</f>
        <v>11660</v>
      </c>
      <c r="I13" s="95" t="n">
        <f aca="false">'Corp DCF'!H11*$B$13</f>
        <v>14392.6</v>
      </c>
      <c r="J13" s="95" t="n">
        <f aca="false">'Corp DCF'!I11*$B$13</f>
        <v>17804.6876</v>
      </c>
      <c r="K13" s="95" t="n">
        <f aca="false">'Corp DCF'!J11*$B$13</f>
        <v>20368.24036</v>
      </c>
      <c r="L13" s="95" t="n">
        <f aca="false">'Corp DCF'!K11*$B$13</f>
        <v>23314.18137884</v>
      </c>
      <c r="M13" s="95" t="n">
        <f aca="false">'Corp DCF'!L11*$B$13</f>
        <v>24454.46406589</v>
      </c>
      <c r="N13" s="95" t="n">
        <f aca="false">'Corp DCF'!M11*$B$13</f>
        <v>25651.279901189</v>
      </c>
      <c r="O13" s="95" t="n">
        <f aca="false">'Corp DCF'!N11*$B$13</f>
        <v>24431.9392064989</v>
      </c>
      <c r="P13" s="95" t="n">
        <f aca="false">'Corp DCF'!O11*$B$13</f>
        <v>23274.9051439281</v>
      </c>
      <c r="Q13" s="95" t="n">
        <f aca="false">'Corp DCF'!P11*$B$13</f>
        <v>19942.9493136856</v>
      </c>
      <c r="R13" s="95" t="n">
        <f aca="false">'Corp DCF'!Q11*$B$13</f>
        <v>17114.1157155225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customFormat="false" ht="12.75" hidden="false" customHeight="false" outlineLevel="0" collapsed="false">
      <c r="A14" s="514" t="s">
        <v>269</v>
      </c>
      <c r="B14" s="299"/>
      <c r="C14" s="299"/>
      <c r="D14" s="299"/>
      <c r="E14" s="515" t="n">
        <f aca="false">SUM(E11:E13)</f>
        <v>500981</v>
      </c>
      <c r="F14" s="515" t="n">
        <f aca="false">SUM(F11:F13)</f>
        <v>476318</v>
      </c>
      <c r="G14" s="515" t="n">
        <f aca="false">SUM(G11:G13)</f>
        <v>491092</v>
      </c>
      <c r="H14" s="515" t="n">
        <f aca="false">SUM(H11:H13)</f>
        <v>555796</v>
      </c>
      <c r="I14" s="516" t="n">
        <f aca="false">SUM(I11:I13)</f>
        <v>565325.54</v>
      </c>
      <c r="J14" s="516" t="n">
        <f aca="false">SUM(J11:J13)</f>
        <v>575633.2486</v>
      </c>
      <c r="K14" s="516" t="n">
        <f aca="false">SUM(K11:K13)</f>
        <v>585192.812402</v>
      </c>
      <c r="L14" s="516" t="n">
        <f aca="false">SUM(L11:L13)</f>
        <v>595236.8983219</v>
      </c>
      <c r="M14" s="516" t="n">
        <f aca="false">SUM(M11:M13)</f>
        <v>603579.239159833</v>
      </c>
      <c r="N14" s="516" t="n">
        <f aca="false">SUM(N11:N13)</f>
        <v>612083.84217887</v>
      </c>
      <c r="O14" s="516" t="n">
        <f aca="false">SUM(O11:O13)</f>
        <v>618279.870715078</v>
      </c>
      <c r="P14" s="516" t="n">
        <f aca="false">SUM(P11:P13)</f>
        <v>624647.679036144</v>
      </c>
      <c r="Q14" s="516" t="n">
        <f aca="false">SUM(Q11:Q13)</f>
        <v>628951.968820661</v>
      </c>
      <c r="R14" s="516" t="n">
        <f aca="false">SUM(R11:R13)</f>
        <v>633872.754023216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customFormat="false" ht="12.75" hidden="false" customHeight="false" outlineLevel="0" collapsed="false">
      <c r="E15" s="510"/>
      <c r="F15" s="517"/>
      <c r="G15" s="518"/>
      <c r="H15" s="518"/>
      <c r="I15" s="519"/>
      <c r="J15" s="428"/>
      <c r="K15" s="428"/>
      <c r="L15" s="428"/>
      <c r="M15" s="428"/>
      <c r="N15" s="428"/>
      <c r="O15" s="428"/>
      <c r="P15" s="428"/>
      <c r="Q15" s="428"/>
      <c r="R15" s="428"/>
    </row>
    <row r="16" customFormat="false" ht="12.75" hidden="false" customHeight="false" outlineLevel="0" collapsed="false">
      <c r="A16" s="506" t="s">
        <v>270</v>
      </c>
      <c r="B16" s="507" t="s">
        <v>268</v>
      </c>
      <c r="E16" s="510"/>
      <c r="F16" s="520"/>
      <c r="G16" s="520"/>
      <c r="H16" s="520"/>
      <c r="I16" s="443"/>
      <c r="J16" s="443"/>
      <c r="K16" s="443"/>
      <c r="L16" s="443"/>
      <c r="M16" s="443"/>
      <c r="N16" s="443"/>
      <c r="O16" s="443"/>
      <c r="P16" s="443"/>
      <c r="Q16" s="443"/>
      <c r="R16" s="443"/>
    </row>
    <row r="17" customFormat="false" ht="12.75" hidden="false" customHeight="false" outlineLevel="0" collapsed="false">
      <c r="A17" s="511" t="str">
        <f aca="false">A11</f>
        <v>Panhandle Eastern</v>
      </c>
      <c r="B17" s="512" t="n">
        <f aca="false">B11</f>
        <v>1</v>
      </c>
      <c r="E17" s="520" t="n">
        <f aca="false">'Pipeline Co DCF'!D13*'Unlev. Consolid'!$B$17</f>
        <v>213000</v>
      </c>
      <c r="F17" s="520" t="n">
        <f aca="false">'Pipeline Co DCF'!E13*'Unlev. Consolid'!$B$17</f>
        <v>191000</v>
      </c>
      <c r="G17" s="520" t="n">
        <f aca="false">'Pipeline Co DCF'!F13*'Unlev. Consolid'!$B$17</f>
        <v>211000</v>
      </c>
      <c r="H17" s="520" t="n">
        <f aca="false">'Pipeline Co DCF'!G13*'Unlev. Consolid'!$B$17</f>
        <v>210000</v>
      </c>
      <c r="I17" s="443" t="n">
        <f aca="false">'Pipeline Co DCF'!H13*'Unlev. Consolid'!$B$17</f>
        <v>215250</v>
      </c>
      <c r="J17" s="443" t="n">
        <f aca="false">'Pipeline Co DCF'!I13*'Unlev. Consolid'!$B$17</f>
        <v>220631.25</v>
      </c>
      <c r="K17" s="443" t="n">
        <f aca="false">'Pipeline Co DCF'!J13*'Unlev. Consolid'!$B$17</f>
        <v>226147.03125</v>
      </c>
      <c r="L17" s="443" t="n">
        <f aca="false">'Pipeline Co DCF'!K13*'Unlev. Consolid'!$B$17</f>
        <v>231800.70703125</v>
      </c>
      <c r="M17" s="443" t="n">
        <f aca="false">'Pipeline Co DCF'!L13*'Unlev. Consolid'!$B$17</f>
        <v>237595.724707031</v>
      </c>
      <c r="N17" s="443" t="n">
        <f aca="false">'Pipeline Co DCF'!M13*'Unlev. Consolid'!$B$17</f>
        <v>243535.617824707</v>
      </c>
      <c r="O17" s="443" t="n">
        <f aca="false">'Pipeline Co DCF'!N13*'Unlev. Consolid'!$B$17</f>
        <v>249624.008270325</v>
      </c>
      <c r="P17" s="443" t="n">
        <f aca="false">'Pipeline Co DCF'!O13*'Unlev. Consolid'!$B$17</f>
        <v>255864.608477083</v>
      </c>
      <c r="Q17" s="443" t="n">
        <f aca="false">'Pipeline Co DCF'!P13*'Unlev. Consolid'!$B$17</f>
        <v>262261.22368901</v>
      </c>
      <c r="R17" s="443" t="n">
        <f aca="false">'Pipeline Co DCF'!Q13*'Unlev. Consolid'!$B$17</f>
        <v>268817.754281235</v>
      </c>
    </row>
    <row r="18" customFormat="false" ht="12.75" hidden="false" customHeight="false" outlineLevel="0" collapsed="false">
      <c r="A18" s="511" t="str">
        <f aca="false">A12</f>
        <v>Consumers Energy</v>
      </c>
      <c r="B18" s="512" t="n">
        <f aca="false">B12</f>
        <v>1</v>
      </c>
      <c r="E18" s="520" t="n">
        <f aca="false">'Consumers DCF'!D13*$B$18</f>
        <v>359</v>
      </c>
      <c r="F18" s="520" t="n">
        <f aca="false">'Consumers DCF'!E13*$B$18</f>
        <v>406</v>
      </c>
      <c r="G18" s="520" t="n">
        <f aca="false">'Consumers DCF'!F13*$B$18</f>
        <v>408</v>
      </c>
      <c r="H18" s="520" t="n">
        <f aca="false">'Consumers DCF'!G13*$B$18</f>
        <v>342</v>
      </c>
      <c r="I18" s="443" t="n">
        <f aca="false">'Consumers DCF'!H13*$B$18</f>
        <v>345.42</v>
      </c>
      <c r="J18" s="443" t="n">
        <f aca="false">'Consumers DCF'!I13*$B$18</f>
        <v>348.8742</v>
      </c>
      <c r="K18" s="443" t="n">
        <f aca="false">'Consumers DCF'!J13*$B$18</f>
        <v>352.362942</v>
      </c>
      <c r="L18" s="443" t="n">
        <f aca="false">'Consumers DCF'!K13*$B$18</f>
        <v>355.88657142</v>
      </c>
      <c r="M18" s="443" t="n">
        <f aca="false">'Consumers DCF'!L13*$B$18</f>
        <v>359.4454371342</v>
      </c>
      <c r="N18" s="443" t="n">
        <f aca="false">'Consumers DCF'!M13*$B$18</f>
        <v>363.039891505542</v>
      </c>
      <c r="O18" s="443" t="n">
        <f aca="false">'Consumers DCF'!N13*$B$18</f>
        <v>366.670290420598</v>
      </c>
      <c r="P18" s="443" t="n">
        <f aca="false">'Consumers DCF'!O13*$B$18</f>
        <v>370.336993324804</v>
      </c>
      <c r="Q18" s="443" t="n">
        <f aca="false">'Consumers DCF'!P13*$B$18</f>
        <v>374.040363258052</v>
      </c>
      <c r="R18" s="443" t="n">
        <f aca="false">'Consumers DCF'!Q13*$B$18</f>
        <v>377.780766890632</v>
      </c>
    </row>
    <row r="19" customFormat="false" ht="12.75" hidden="false" customHeight="false" outlineLevel="0" collapsed="false">
      <c r="A19" s="138" t="str">
        <f aca="false">A13</f>
        <v>Other</v>
      </c>
      <c r="B19" s="521" t="n">
        <f aca="false">B13</f>
        <v>1</v>
      </c>
      <c r="C19" s="17"/>
      <c r="D19" s="17"/>
      <c r="E19" s="520" t="n">
        <f aca="false">'Corp DCF'!D13*$B$19</f>
        <v>1785</v>
      </c>
      <c r="F19" s="520" t="n">
        <f aca="false">'Corp DCF'!E13*$B$19</f>
        <v>1769</v>
      </c>
      <c r="G19" s="520" t="n">
        <f aca="false">'Corp DCF'!F13*$B$19</f>
        <v>4275</v>
      </c>
      <c r="H19" s="520" t="n">
        <f aca="false">'Corp DCF'!G13*$B$19</f>
        <v>11282</v>
      </c>
      <c r="I19" s="443" t="n">
        <f aca="false">'Corp DCF'!H13*$B$19</f>
        <v>13877.62</v>
      </c>
      <c r="J19" s="443" t="n">
        <f aca="false">'Corp DCF'!I13*$B$19</f>
        <v>17116.521</v>
      </c>
      <c r="K19" s="443" t="n">
        <f aca="false">'Corp DCF'!J13*$B$19</f>
        <v>19552.814478</v>
      </c>
      <c r="L19" s="443" t="n">
        <f aca="false">'Corp DCF'!K13*$B$19</f>
        <v>22351.2764673</v>
      </c>
      <c r="M19" s="443" t="n">
        <f aca="false">'Corp DCF'!L13*$B$19</f>
        <v>23441.4682736282</v>
      </c>
      <c r="N19" s="443" t="n">
        <f aca="false">'Corp DCF'!M13*$B$19</f>
        <v>24585.5069778299</v>
      </c>
      <c r="O19" s="443" t="n">
        <f aca="false">'Corp DCF'!N13*$B$19</f>
        <v>23443.6097192463</v>
      </c>
      <c r="P19" s="443" t="n">
        <f aca="false">'Corp DCF'!O13*$B$19</f>
        <v>22361.0439692187</v>
      </c>
      <c r="Q19" s="443" t="n">
        <f aca="false">'Corp DCF'!P13*$B$19</f>
        <v>19220.8337667845</v>
      </c>
      <c r="R19" s="443" t="n">
        <f aca="false">'Corp DCF'!Q13*$B$19</f>
        <v>16557.1014778815</v>
      </c>
      <c r="S19" s="17"/>
      <c r="T19" s="17"/>
    </row>
    <row r="20" customFormat="false" ht="12.75" hidden="false" customHeight="false" outlineLevel="0" collapsed="false">
      <c r="A20" s="514" t="s">
        <v>271</v>
      </c>
      <c r="B20" s="299"/>
      <c r="C20" s="299"/>
      <c r="D20" s="299"/>
      <c r="E20" s="515" t="n">
        <f aca="false">SUM(E17:E19)</f>
        <v>215144</v>
      </c>
      <c r="F20" s="515" t="n">
        <f aca="false">SUM(F17:F19)</f>
        <v>193175</v>
      </c>
      <c r="G20" s="515" t="n">
        <f aca="false">SUM(G17:G19)</f>
        <v>215683</v>
      </c>
      <c r="H20" s="515" t="n">
        <f aca="false">SUM(H17:H19)</f>
        <v>221624</v>
      </c>
      <c r="I20" s="516" t="n">
        <f aca="false">SUM(I17:I19)</f>
        <v>229473.04</v>
      </c>
      <c r="J20" s="516" t="n">
        <f aca="false">SUM(J17:J19)</f>
        <v>238096.6452</v>
      </c>
      <c r="K20" s="516" t="n">
        <f aca="false">SUM(K17:K19)</f>
        <v>246052.20867</v>
      </c>
      <c r="L20" s="516" t="n">
        <f aca="false">SUM(L17:L19)</f>
        <v>254507.87006997</v>
      </c>
      <c r="M20" s="516" t="n">
        <f aca="false">SUM(M17:M19)</f>
        <v>261396.638417794</v>
      </c>
      <c r="N20" s="516" t="n">
        <f aca="false">SUM(N17:N19)</f>
        <v>268484.164694042</v>
      </c>
      <c r="O20" s="516" t="n">
        <f aca="false">SUM(O17:O19)</f>
        <v>273434.288279991</v>
      </c>
      <c r="P20" s="516" t="n">
        <f aca="false">SUM(P17:P19)</f>
        <v>278595.989439626</v>
      </c>
      <c r="Q20" s="516" t="n">
        <f aca="false">SUM(Q17:Q19)</f>
        <v>281856.097819052</v>
      </c>
      <c r="R20" s="516" t="n">
        <f aca="false">SUM(R17:R19)</f>
        <v>285752.636526007</v>
      </c>
    </row>
    <row r="21" customFormat="false" ht="12.75" hidden="false" customHeight="false" outlineLevel="0" collapsed="false">
      <c r="A21" s="138"/>
      <c r="B21" s="17"/>
      <c r="C21" s="17"/>
      <c r="D21" s="17"/>
      <c r="E21" s="510"/>
      <c r="F21" s="517"/>
      <c r="G21" s="517"/>
      <c r="H21" s="517"/>
      <c r="I21" s="489"/>
      <c r="J21" s="443"/>
      <c r="K21" s="443"/>
      <c r="L21" s="443"/>
      <c r="M21" s="443"/>
      <c r="N21" s="443"/>
      <c r="O21" s="443"/>
      <c r="P21" s="443"/>
      <c r="Q21" s="443"/>
      <c r="R21" s="443"/>
    </row>
    <row r="22" customFormat="false" ht="12.75" hidden="false" customHeight="false" outlineLevel="0" collapsed="false">
      <c r="A22" s="53" t="s">
        <v>272</v>
      </c>
      <c r="B22" s="53"/>
      <c r="C22" s="53"/>
      <c r="D22" s="522"/>
      <c r="E22" s="523" t="n">
        <f aca="false">E14/E20</f>
        <v>2.32858457591195</v>
      </c>
      <c r="F22" s="523" t="n">
        <f aca="false">F14/F20</f>
        <v>2.46573314352271</v>
      </c>
      <c r="G22" s="523" t="n">
        <f aca="false">G14/G20</f>
        <v>2.27691565862864</v>
      </c>
      <c r="H22" s="523" t="n">
        <f aca="false">H14/H20</f>
        <v>2.50783308666931</v>
      </c>
      <c r="I22" s="524" t="n">
        <f aca="false">I14/I20</f>
        <v>2.46358151702701</v>
      </c>
      <c r="J22" s="524" t="n">
        <f aca="false">J14/J20</f>
        <v>2.41764535622277</v>
      </c>
      <c r="K22" s="524" t="n">
        <f aca="false">K14/K20</f>
        <v>2.37832781735704</v>
      </c>
      <c r="L22" s="524" t="n">
        <f aca="false">L14/L20</f>
        <v>2.33877599996517</v>
      </c>
      <c r="M22" s="524" t="n">
        <f aca="false">M14/M20</f>
        <v>2.30905509272512</v>
      </c>
      <c r="N22" s="524" t="n">
        <f aca="false">N14/N20</f>
        <v>2.27977632452322</v>
      </c>
      <c r="O22" s="524" t="n">
        <f aca="false">O14/O20</f>
        <v>2.26116437190193</v>
      </c>
      <c r="P22" s="524" t="n">
        <f aca="false">P14/P20</f>
        <v>2.24212731953742</v>
      </c>
      <c r="Q22" s="524" t="n">
        <f aca="false">Q14/Q20</f>
        <v>2.23146482792946</v>
      </c>
      <c r="R22" s="524" t="n">
        <f aca="false">R14/R20</f>
        <v>2.21825688724844</v>
      </c>
    </row>
    <row r="23" customFormat="false" ht="12.75" hidden="false" customHeight="false" outlineLevel="0" collapsed="false">
      <c r="A23" s="118" t="s">
        <v>230</v>
      </c>
      <c r="B23" s="299"/>
      <c r="C23" s="299"/>
      <c r="D23" s="299"/>
      <c r="E23" s="515" t="n">
        <f aca="false">E14-E20</f>
        <v>285837</v>
      </c>
      <c r="F23" s="515" t="n">
        <f aca="false">F14-F20</f>
        <v>283143</v>
      </c>
      <c r="G23" s="515" t="n">
        <f aca="false">G14-G20</f>
        <v>275409</v>
      </c>
      <c r="H23" s="515" t="n">
        <f aca="false">H14-H20</f>
        <v>334172</v>
      </c>
      <c r="I23" s="516" t="n">
        <f aca="false">I14-I20</f>
        <v>335852.5</v>
      </c>
      <c r="J23" s="516" t="n">
        <f aca="false">J14-J20</f>
        <v>337536.6034</v>
      </c>
      <c r="K23" s="516" t="n">
        <f aca="false">K14-K20</f>
        <v>339140.603732</v>
      </c>
      <c r="L23" s="516" t="n">
        <f aca="false">L14-L20</f>
        <v>340729.02825193</v>
      </c>
      <c r="M23" s="516" t="n">
        <f aca="false">M14-M20</f>
        <v>342182.60074204</v>
      </c>
      <c r="N23" s="516" t="n">
        <f aca="false">N14-N20</f>
        <v>343599.677484827</v>
      </c>
      <c r="O23" s="516" t="n">
        <f aca="false">O14-O20</f>
        <v>344845.582435086</v>
      </c>
      <c r="P23" s="516" t="n">
        <f aca="false">P14-P20</f>
        <v>346051.689596518</v>
      </c>
      <c r="Q23" s="516" t="n">
        <f aca="false">Q14-Q20</f>
        <v>347095.871001609</v>
      </c>
      <c r="R23" s="525" t="n">
        <f aca="false">R14-R20</f>
        <v>348120.117497209</v>
      </c>
    </row>
    <row r="24" customFormat="false" ht="12.75" hidden="false" customHeight="false" outlineLevel="0" collapsed="false">
      <c r="E24" s="510"/>
      <c r="F24" s="526"/>
      <c r="G24" s="526"/>
      <c r="H24" s="526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customFormat="false" ht="12.75" hidden="false" customHeight="false" outlineLevel="0" collapsed="false">
      <c r="A25" s="0" t="s">
        <v>273</v>
      </c>
      <c r="B25" s="507" t="s">
        <v>268</v>
      </c>
      <c r="E25" s="520"/>
      <c r="F25" s="520"/>
      <c r="G25" s="520"/>
      <c r="H25" s="520"/>
      <c r="I25" s="443"/>
      <c r="J25" s="443"/>
      <c r="K25" s="443"/>
      <c r="L25" s="443"/>
      <c r="M25" s="443"/>
      <c r="N25" s="443"/>
      <c r="O25" s="443"/>
      <c r="P25" s="443"/>
      <c r="Q25" s="443"/>
      <c r="R25" s="443"/>
    </row>
    <row r="26" customFormat="false" ht="12.75" hidden="false" customHeight="false" outlineLevel="0" collapsed="false">
      <c r="A26" s="511" t="str">
        <f aca="false">A17</f>
        <v>Panhandle Eastern</v>
      </c>
      <c r="B26" s="512" t="n">
        <f aca="false">B17</f>
        <v>1</v>
      </c>
      <c r="E26" s="520" t="e">
        <f aca="false">#REF!*$B$26</f>
        <v>#REF!</v>
      </c>
      <c r="F26" s="520" t="e">
        <f aca="false">#REF!*$B$26</f>
        <v>#REF!</v>
      </c>
      <c r="G26" s="520" t="e">
        <f aca="false">#REF!*$B$26</f>
        <v>#REF!</v>
      </c>
      <c r="H26" s="520" t="e">
        <f aca="false">#REF!*$B$26</f>
        <v>#REF!</v>
      </c>
      <c r="I26" s="443" t="e">
        <f aca="false">#REF!*$B$26</f>
        <v>#REF!</v>
      </c>
      <c r="J26" s="443" t="e">
        <f aca="false">#REF!*$B$26</f>
        <v>#REF!</v>
      </c>
      <c r="K26" s="443" t="e">
        <f aca="false">#REF!*$B$26</f>
        <v>#REF!</v>
      </c>
      <c r="L26" s="443" t="e">
        <f aca="false">#REF!*$B$26</f>
        <v>#REF!</v>
      </c>
      <c r="M26" s="443" t="e">
        <f aca="false">#REF!*$B$26</f>
        <v>#REF!</v>
      </c>
      <c r="N26" s="443" t="e">
        <f aca="false">#REF!*$B$26</f>
        <v>#REF!</v>
      </c>
      <c r="O26" s="443" t="e">
        <f aca="false">#REF!*$B$26</f>
        <v>#REF!</v>
      </c>
      <c r="P26" s="443" t="e">
        <f aca="false">#REF!*$B$26</f>
        <v>#REF!</v>
      </c>
      <c r="Q26" s="443" t="e">
        <f aca="false">#REF!*$B$26</f>
        <v>#REF!</v>
      </c>
      <c r="R26" s="443" t="e">
        <f aca="false">#REF!*$B$26</f>
        <v>#REF!</v>
      </c>
    </row>
    <row r="27" customFormat="false" ht="12.75" hidden="false" customHeight="false" outlineLevel="0" collapsed="false">
      <c r="A27" s="511" t="str">
        <f aca="false">A18</f>
        <v>Consumers Energy</v>
      </c>
      <c r="B27" s="512" t="n">
        <f aca="false">B18</f>
        <v>1</v>
      </c>
      <c r="E27" s="520" t="n">
        <f aca="false">'Consumers DCF'!D19*'Unlev. Consolid'!$B$27</f>
        <v>-33</v>
      </c>
      <c r="F27" s="520" t="n">
        <f aca="false">'Consumers DCF'!E19*'Unlev. Consolid'!$B$27</f>
        <v>18</v>
      </c>
      <c r="G27" s="520" t="n">
        <f aca="false">'Consumers DCF'!F19*'Unlev. Consolid'!$B$27</f>
        <v>0</v>
      </c>
      <c r="H27" s="520" t="n">
        <f aca="false">'Consumers DCF'!G19*'Unlev. Consolid'!$B$27</f>
        <v>0</v>
      </c>
      <c r="I27" s="443" t="n">
        <f aca="false">'Consumers DCF'!H19*'Unlev. Consolid'!$B$27</f>
        <v>0</v>
      </c>
      <c r="J27" s="443" t="n">
        <f aca="false">'Consumers DCF'!I19*'Unlev. Consolid'!$B$27</f>
        <v>0</v>
      </c>
      <c r="K27" s="443" t="n">
        <f aca="false">'Consumers DCF'!J19*'Unlev. Consolid'!$B$27</f>
        <v>0</v>
      </c>
      <c r="L27" s="443" t="n">
        <f aca="false">'Consumers DCF'!K19*'Unlev. Consolid'!$B$27</f>
        <v>0</v>
      </c>
      <c r="M27" s="443" t="n">
        <f aca="false">'Consumers DCF'!L19*'Unlev. Consolid'!$B$27</f>
        <v>0</v>
      </c>
      <c r="N27" s="443" t="n">
        <f aca="false">'Consumers DCF'!M19*'Unlev. Consolid'!$B$27</f>
        <v>0</v>
      </c>
      <c r="O27" s="443" t="n">
        <f aca="false">'Consumers DCF'!N19*'Unlev. Consolid'!$B$27</f>
        <v>0</v>
      </c>
      <c r="P27" s="443" t="n">
        <f aca="false">'Consumers DCF'!O19*'Unlev. Consolid'!$B$27</f>
        <v>0</v>
      </c>
      <c r="Q27" s="443" t="n">
        <f aca="false">'Consumers DCF'!P19*'Unlev. Consolid'!$B$27</f>
        <v>0</v>
      </c>
      <c r="R27" s="443" t="n">
        <f aca="false">'Consumers DCF'!Q19*'Unlev. Consolid'!$B$27</f>
        <v>0</v>
      </c>
    </row>
    <row r="28" customFormat="false" ht="12.75" hidden="false" customHeight="false" outlineLevel="0" collapsed="false">
      <c r="A28" s="511" t="str">
        <f aca="false">A19</f>
        <v>Other</v>
      </c>
      <c r="B28" s="512" t="n">
        <f aca="false">B19</f>
        <v>1</v>
      </c>
      <c r="E28" s="520" t="n">
        <f aca="false">$B$28*'Corp DCF'!D19</f>
        <v>14</v>
      </c>
      <c r="F28" s="520" t="n">
        <f aca="false">$B$28*'Corp DCF'!E19</f>
        <v>25</v>
      </c>
      <c r="G28" s="520" t="n">
        <f aca="false">$B$28*'Corp DCF'!F19</f>
        <v>54</v>
      </c>
      <c r="H28" s="520" t="n">
        <f aca="false">$B$28*'Corp DCF'!G19</f>
        <v>8</v>
      </c>
      <c r="I28" s="443" t="n">
        <f aca="false">$B$28*'Corp DCF'!H19</f>
        <v>8.08</v>
      </c>
      <c r="J28" s="443" t="n">
        <f aca="false">$B$28*'Corp DCF'!I19</f>
        <v>8.1608</v>
      </c>
      <c r="K28" s="443" t="n">
        <f aca="false">$B$28*'Corp DCF'!J19</f>
        <v>8.242408</v>
      </c>
      <c r="L28" s="443" t="n">
        <f aca="false">$B$28*'Corp DCF'!K19</f>
        <v>8.32483208</v>
      </c>
      <c r="M28" s="443" t="n">
        <f aca="false">$B$28*'Corp DCF'!L19</f>
        <v>8.4080804008</v>
      </c>
      <c r="N28" s="443" t="n">
        <f aca="false">$B$28*'Corp DCF'!M19</f>
        <v>8.492161204808</v>
      </c>
      <c r="O28" s="443" t="n">
        <f aca="false">$B$28*'Corp DCF'!N19</f>
        <v>8.57708281685608</v>
      </c>
      <c r="P28" s="443" t="n">
        <f aca="false">$B$28*'Corp DCF'!O19</f>
        <v>8.66285364502464</v>
      </c>
      <c r="Q28" s="443" t="n">
        <f aca="false">$B$28*'Corp DCF'!P19</f>
        <v>8.74948218147489</v>
      </c>
      <c r="R28" s="443" t="n">
        <f aca="false">$B$28*'Corp DCF'!Q19</f>
        <v>8.83697700328964</v>
      </c>
    </row>
    <row r="29" customFormat="false" ht="12.75" hidden="false" customHeight="false" outlineLevel="0" collapsed="false">
      <c r="A29" s="514" t="s">
        <v>274</v>
      </c>
      <c r="B29" s="299"/>
      <c r="C29" s="299"/>
      <c r="D29" s="299"/>
      <c r="E29" s="528" t="e">
        <f aca="false">SUM(E26:E28)</f>
        <v>#REF!</v>
      </c>
      <c r="F29" s="528" t="e">
        <f aca="false">SUM(F26:F28)</f>
        <v>#REF!</v>
      </c>
      <c r="G29" s="528" t="e">
        <f aca="false">SUM(G26:G28)</f>
        <v>#REF!</v>
      </c>
      <c r="H29" s="528" t="e">
        <f aca="false">SUM(H26:H28)</f>
        <v>#REF!</v>
      </c>
      <c r="I29" s="444" t="e">
        <f aca="false">SUM(I26:I28)</f>
        <v>#REF!</v>
      </c>
      <c r="J29" s="444" t="e">
        <f aca="false">SUM(J26:J28)</f>
        <v>#REF!</v>
      </c>
      <c r="K29" s="444" t="e">
        <f aca="false">SUM(K26:K28)</f>
        <v>#REF!</v>
      </c>
      <c r="L29" s="444" t="e">
        <f aca="false">SUM(L26:L28)</f>
        <v>#REF!</v>
      </c>
      <c r="M29" s="444" t="e">
        <f aca="false">SUM(M26:M28)</f>
        <v>#REF!</v>
      </c>
      <c r="N29" s="444" t="e">
        <f aca="false">SUM(N26:N28)</f>
        <v>#REF!</v>
      </c>
      <c r="O29" s="444" t="e">
        <f aca="false">SUM(O26:O28)</f>
        <v>#REF!</v>
      </c>
      <c r="P29" s="444" t="e">
        <f aca="false">SUM(P26:P28)</f>
        <v>#REF!</v>
      </c>
      <c r="Q29" s="444" t="e">
        <f aca="false">SUM(Q26:Q28)</f>
        <v>#REF!</v>
      </c>
      <c r="R29" s="444" t="e">
        <f aca="false">SUM(R26:R28)</f>
        <v>#REF!</v>
      </c>
    </row>
    <row r="30" customFormat="false" ht="12.75" hidden="false" customHeight="false" outlineLevel="0" collapsed="false">
      <c r="A30" s="529" t="s">
        <v>275</v>
      </c>
      <c r="B30" s="507" t="s">
        <v>268</v>
      </c>
      <c r="E30" s="508"/>
      <c r="F30" s="508"/>
      <c r="G30" s="508"/>
      <c r="H30" s="508"/>
      <c r="I30" s="449"/>
      <c r="J30" s="449"/>
      <c r="K30" s="449"/>
      <c r="L30" s="449"/>
      <c r="M30" s="449"/>
      <c r="N30" s="449"/>
      <c r="O30" s="449"/>
      <c r="P30" s="449"/>
      <c r="Q30" s="449"/>
      <c r="R30" s="449"/>
    </row>
    <row r="31" customFormat="false" ht="12.75" hidden="false" customHeight="false" outlineLevel="0" collapsed="false">
      <c r="A31" s="511" t="str">
        <f aca="false">A26</f>
        <v>Panhandle Eastern</v>
      </c>
      <c r="B31" s="512" t="n">
        <f aca="false">B26</f>
        <v>1</v>
      </c>
      <c r="E31" s="520" t="e">
        <f aca="false">#REF!*$B$31</f>
        <v>#REF!</v>
      </c>
      <c r="F31" s="520" t="e">
        <f aca="false">#REF!*$B$31</f>
        <v>#REF!</v>
      </c>
      <c r="G31" s="520" t="e">
        <f aca="false">#REF!*$B$31</f>
        <v>#REF!</v>
      </c>
      <c r="H31" s="520" t="e">
        <f aca="false">#REF!*$B$31</f>
        <v>#REF!</v>
      </c>
      <c r="I31" s="443" t="e">
        <f aca="false">#REF!*$B$31</f>
        <v>#REF!</v>
      </c>
      <c r="J31" s="443" t="e">
        <f aca="false">#REF!*$B$31</f>
        <v>#REF!</v>
      </c>
      <c r="K31" s="443" t="e">
        <f aca="false">#REF!*$B$31</f>
        <v>#REF!</v>
      </c>
      <c r="L31" s="443" t="e">
        <f aca="false">#REF!*$B$31</f>
        <v>#REF!</v>
      </c>
      <c r="M31" s="443" t="e">
        <f aca="false">#REF!*$B$31</f>
        <v>#REF!</v>
      </c>
      <c r="N31" s="443" t="e">
        <f aca="false">#REF!*$B$31</f>
        <v>#REF!</v>
      </c>
      <c r="O31" s="443" t="e">
        <f aca="false">#REF!*$B$31</f>
        <v>#REF!</v>
      </c>
      <c r="P31" s="443" t="e">
        <f aca="false">#REF!*$B$31</f>
        <v>#REF!</v>
      </c>
      <c r="Q31" s="443" t="e">
        <f aca="false">#REF!*$B$31</f>
        <v>#REF!</v>
      </c>
      <c r="R31" s="443" t="e">
        <f aca="false">#REF!*$B$31</f>
        <v>#REF!</v>
      </c>
    </row>
    <row r="32" customFormat="false" ht="12.75" hidden="false" customHeight="false" outlineLevel="0" collapsed="false">
      <c r="A32" s="511" t="str">
        <f aca="false">A27</f>
        <v>Consumers Energy</v>
      </c>
      <c r="B32" s="512" t="n">
        <f aca="false">B27</f>
        <v>1</v>
      </c>
      <c r="E32" s="520" t="n">
        <f aca="false">$B$32*'Consumers DCF'!D20</f>
        <v>0</v>
      </c>
      <c r="F32" s="520" t="n">
        <f aca="false">$B$32*'Consumers DCF'!E20</f>
        <v>0</v>
      </c>
      <c r="G32" s="520" t="n">
        <f aca="false">$B$32*'Consumers DCF'!F20</f>
        <v>0</v>
      </c>
      <c r="H32" s="520" t="n">
        <f aca="false">$B$32*'Consumers DCF'!G20</f>
        <v>0</v>
      </c>
      <c r="I32" s="443" t="n">
        <f aca="false">$B$32*'Consumers DCF'!H20</f>
        <v>0</v>
      </c>
      <c r="J32" s="443" t="n">
        <f aca="false">$B$32*'Consumers DCF'!I20</f>
        <v>0</v>
      </c>
      <c r="K32" s="443" t="n">
        <f aca="false">$B$32*'Consumers DCF'!J20</f>
        <v>0</v>
      </c>
      <c r="L32" s="443" t="n">
        <f aca="false">$B$32*'Consumers DCF'!K20</f>
        <v>0</v>
      </c>
      <c r="M32" s="443" t="n">
        <f aca="false">$B$32*'Consumers DCF'!L20</f>
        <v>0</v>
      </c>
      <c r="N32" s="443" t="n">
        <f aca="false">$B$32*'Consumers DCF'!M20</f>
        <v>0</v>
      </c>
      <c r="O32" s="443" t="n">
        <f aca="false">$B$32*'Consumers DCF'!N20</f>
        <v>0</v>
      </c>
      <c r="P32" s="443" t="n">
        <f aca="false">$B$32*'Consumers DCF'!O20</f>
        <v>0</v>
      </c>
      <c r="Q32" s="443" t="n">
        <f aca="false">$B$32*'Consumers DCF'!P20</f>
        <v>0</v>
      </c>
      <c r="R32" s="443" t="n">
        <f aca="false">$B$32*'Consumers DCF'!Q20</f>
        <v>0</v>
      </c>
    </row>
    <row r="33" customFormat="false" ht="12.75" hidden="false" customHeight="false" outlineLevel="0" collapsed="false">
      <c r="A33" s="511" t="str">
        <f aca="false">A28</f>
        <v>Other</v>
      </c>
      <c r="B33" s="512" t="n">
        <f aca="false">B28</f>
        <v>1</v>
      </c>
      <c r="E33" s="520" t="n">
        <f aca="false">$B$33*'Corp DCF'!D20</f>
        <v>0</v>
      </c>
      <c r="F33" s="520" t="n">
        <f aca="false">$B$33*'Corp DCF'!E20</f>
        <v>-84</v>
      </c>
      <c r="G33" s="520" t="n">
        <f aca="false">$B$33*'Corp DCF'!F20</f>
        <v>-329</v>
      </c>
      <c r="H33" s="520" t="n">
        <f aca="false">$B$33*'Corp DCF'!G20</f>
        <v>0</v>
      </c>
      <c r="I33" s="443" t="n">
        <f aca="false">$B$33*'Corp DCF'!H20</f>
        <v>0</v>
      </c>
      <c r="J33" s="443" t="n">
        <f aca="false">$B$33*'Corp DCF'!I20</f>
        <v>0</v>
      </c>
      <c r="K33" s="443" t="n">
        <f aca="false">$B$33*'Corp DCF'!J20</f>
        <v>0</v>
      </c>
      <c r="L33" s="443" t="n">
        <f aca="false">$B$33*'Corp DCF'!K20</f>
        <v>0</v>
      </c>
      <c r="M33" s="443" t="n">
        <f aca="false">$B$33*'Corp DCF'!L20</f>
        <v>0</v>
      </c>
      <c r="N33" s="443" t="n">
        <f aca="false">$B$33*'Corp DCF'!M20</f>
        <v>0</v>
      </c>
      <c r="O33" s="443" t="n">
        <f aca="false">$B$33*'Corp DCF'!N20</f>
        <v>0</v>
      </c>
      <c r="P33" s="443" t="n">
        <f aca="false">$B$33*'Corp DCF'!O20</f>
        <v>0</v>
      </c>
      <c r="Q33" s="443" t="n">
        <f aca="false">$B$33*'Corp DCF'!P20</f>
        <v>0</v>
      </c>
      <c r="R33" s="443" t="n">
        <f aca="false">$B$33*'Corp DCF'!Q20</f>
        <v>0</v>
      </c>
    </row>
    <row r="34" customFormat="false" ht="12.75" hidden="false" customHeight="false" outlineLevel="0" collapsed="false">
      <c r="A34" s="514" t="s">
        <v>276</v>
      </c>
      <c r="B34" s="299"/>
      <c r="C34" s="299"/>
      <c r="D34" s="299"/>
      <c r="E34" s="528" t="e">
        <f aca="false">SUM(E31:E33)</f>
        <v>#REF!</v>
      </c>
      <c r="F34" s="528" t="e">
        <f aca="false">SUM(F31:F33)</f>
        <v>#REF!</v>
      </c>
      <c r="G34" s="528" t="e">
        <f aca="false">SUM(G31:G33)</f>
        <v>#REF!</v>
      </c>
      <c r="H34" s="528" t="e">
        <f aca="false">SUM(H31:H33)</f>
        <v>#REF!</v>
      </c>
      <c r="I34" s="444" t="e">
        <f aca="false">SUM(I31:I33)</f>
        <v>#REF!</v>
      </c>
      <c r="J34" s="444" t="e">
        <f aca="false">SUM(J31:J33)</f>
        <v>#REF!</v>
      </c>
      <c r="K34" s="444" t="e">
        <f aca="false">SUM(K31:K33)</f>
        <v>#REF!</v>
      </c>
      <c r="L34" s="444" t="e">
        <f aca="false">SUM(L31:L33)</f>
        <v>#REF!</v>
      </c>
      <c r="M34" s="444" t="e">
        <f aca="false">SUM(M31:M33)</f>
        <v>#REF!</v>
      </c>
      <c r="N34" s="444" t="e">
        <f aca="false">SUM(N31:N33)</f>
        <v>#REF!</v>
      </c>
      <c r="O34" s="444" t="e">
        <f aca="false">SUM(O31:O33)</f>
        <v>#REF!</v>
      </c>
      <c r="P34" s="444" t="e">
        <f aca="false">SUM(P31:P33)</f>
        <v>#REF!</v>
      </c>
      <c r="Q34" s="444" t="e">
        <f aca="false">SUM(Q31:Q33)</f>
        <v>#REF!</v>
      </c>
      <c r="R34" s="444" t="e">
        <f aca="false">SUM(R31:R33)</f>
        <v>#REF!</v>
      </c>
    </row>
    <row r="35" customFormat="false" ht="12.75" hidden="false" customHeight="false" outlineLevel="0" collapsed="false">
      <c r="A35" s="371" t="s">
        <v>277</v>
      </c>
      <c r="B35" s="530"/>
      <c r="C35" s="530"/>
      <c r="E35" s="513" t="n">
        <f aca="false">E56</f>
        <v>0</v>
      </c>
      <c r="F35" s="513" t="n">
        <f aca="false">F56</f>
        <v>0</v>
      </c>
      <c r="G35" s="513" t="n">
        <f aca="false">G56</f>
        <v>0</v>
      </c>
      <c r="H35" s="513" t="e">
        <f aca="false">H56</f>
        <v>#REF!</v>
      </c>
      <c r="I35" s="95" t="e">
        <f aca="false">I56</f>
        <v>#REF!</v>
      </c>
      <c r="J35" s="95" t="e">
        <f aca="false">J56</f>
        <v>#REF!</v>
      </c>
      <c r="K35" s="95" t="e">
        <f aca="false">K56</f>
        <v>#REF!</v>
      </c>
      <c r="L35" s="95" t="e">
        <f aca="false">L56</f>
        <v>#REF!</v>
      </c>
      <c r="M35" s="95" t="e">
        <f aca="false">M56</f>
        <v>#REF!</v>
      </c>
      <c r="N35" s="95" t="e">
        <f aca="false">N56</f>
        <v>#REF!</v>
      </c>
      <c r="O35" s="95" t="e">
        <f aca="false">O56</f>
        <v>#REF!</v>
      </c>
      <c r="P35" s="95" t="e">
        <f aca="false">P56</f>
        <v>#REF!</v>
      </c>
      <c r="Q35" s="95" t="e">
        <f aca="false">Q56</f>
        <v>#REF!</v>
      </c>
      <c r="R35" s="95" t="e">
        <f aca="false">R56</f>
        <v>#REF!</v>
      </c>
    </row>
    <row r="36" customFormat="false" ht="12.75" hidden="false" customHeight="false" outlineLevel="0" collapsed="false">
      <c r="A36" s="118" t="s">
        <v>233</v>
      </c>
      <c r="B36" s="299"/>
      <c r="C36" s="299"/>
      <c r="D36" s="299"/>
      <c r="E36" s="531" t="e">
        <f aca="false">E23+E29+E34-E35</f>
        <v>#REF!</v>
      </c>
      <c r="F36" s="531" t="e">
        <f aca="false">F23+F29+F34-F35</f>
        <v>#REF!</v>
      </c>
      <c r="G36" s="531" t="e">
        <f aca="false">G23+G29+G34-G35</f>
        <v>#REF!</v>
      </c>
      <c r="H36" s="531" t="e">
        <f aca="false">H23+H29+H34-H35</f>
        <v>#REF!</v>
      </c>
      <c r="I36" s="532" t="e">
        <f aca="false">I23+I29+I34-I35</f>
        <v>#REF!</v>
      </c>
      <c r="J36" s="532" t="e">
        <f aca="false">J23+J29+J34-J35</f>
        <v>#REF!</v>
      </c>
      <c r="K36" s="532" t="e">
        <f aca="false">K23+K29+K34-K35</f>
        <v>#REF!</v>
      </c>
      <c r="L36" s="532" t="e">
        <f aca="false">L23+L29+L34-L35</f>
        <v>#REF!</v>
      </c>
      <c r="M36" s="532" t="e">
        <f aca="false">M23+M29+M34-M35</f>
        <v>#REF!</v>
      </c>
      <c r="N36" s="532" t="e">
        <f aca="false">N23+N29+N34-N35</f>
        <v>#REF!</v>
      </c>
      <c r="O36" s="532" t="e">
        <f aca="false">O23+O29+O34-O35</f>
        <v>#REF!</v>
      </c>
      <c r="P36" s="532" t="e">
        <f aca="false">P23+P29+P34-P35</f>
        <v>#REF!</v>
      </c>
      <c r="Q36" s="532" t="e">
        <f aca="false">Q23+Q29+Q34-Q35</f>
        <v>#REF!</v>
      </c>
      <c r="R36" s="532" t="e">
        <f aca="false">R23+R29+R34-R35</f>
        <v>#REF!</v>
      </c>
    </row>
    <row r="37" customFormat="false" ht="12.75" hidden="false" customHeight="false" outlineLevel="0" collapsed="false">
      <c r="E37" s="510"/>
      <c r="F37" s="526"/>
      <c r="G37" s="526"/>
      <c r="H37" s="526"/>
      <c r="I37" s="527"/>
      <c r="J37" s="527"/>
      <c r="K37" s="527"/>
      <c r="L37" s="527"/>
      <c r="M37" s="527"/>
      <c r="N37" s="527"/>
      <c r="O37" s="527"/>
      <c r="P37" s="527"/>
      <c r="Q37" s="527"/>
      <c r="R37" s="527"/>
    </row>
    <row r="38" customFormat="false" ht="12.75" hidden="false" customHeight="false" outlineLevel="0" collapsed="false">
      <c r="A38" s="95" t="s">
        <v>278</v>
      </c>
      <c r="E38" s="520"/>
      <c r="F38" s="520"/>
      <c r="G38" s="520"/>
      <c r="H38" s="520" t="e">
        <f aca="false">$B$40*(H23-H61)</f>
        <v>#REF!</v>
      </c>
      <c r="I38" s="443" t="e">
        <f aca="false">$B$40*(I23-I61)</f>
        <v>#REF!</v>
      </c>
      <c r="J38" s="443" t="e">
        <f aca="false">$B$40*(J23-J61)</f>
        <v>#REF!</v>
      </c>
      <c r="K38" s="443" t="e">
        <f aca="false">$B$40*(K23-K61)</f>
        <v>#REF!</v>
      </c>
      <c r="L38" s="443" t="e">
        <f aca="false">$B$40*(L23-L61)</f>
        <v>#REF!</v>
      </c>
      <c r="M38" s="443" t="e">
        <f aca="false">$B$40*(M23-M61)</f>
        <v>#REF!</v>
      </c>
      <c r="N38" s="443" t="e">
        <f aca="false">$B$40*(N23-N61)</f>
        <v>#REF!</v>
      </c>
      <c r="O38" s="443" t="e">
        <f aca="false">$B$40*(O23-O61)</f>
        <v>#REF!</v>
      </c>
      <c r="P38" s="443" t="e">
        <f aca="false">$B$40*(P23-P61)</f>
        <v>#REF!</v>
      </c>
      <c r="Q38" s="443" t="e">
        <f aca="false">$B$40*(Q23-Q61)</f>
        <v>#REF!</v>
      </c>
      <c r="R38" s="443" t="e">
        <f aca="false">$B$40*(R23-R61)</f>
        <v>#REF!</v>
      </c>
    </row>
    <row r="39" customFormat="false" ht="15" hidden="false" customHeight="false" outlineLevel="0" collapsed="false">
      <c r="A39" s="95" t="s">
        <v>279</v>
      </c>
      <c r="E39" s="533"/>
      <c r="F39" s="533"/>
      <c r="G39" s="533"/>
      <c r="H39" s="533" t="e">
        <f aca="false">H40-H38</f>
        <v>#REF!</v>
      </c>
      <c r="I39" s="446" t="e">
        <f aca="false">I40-I38</f>
        <v>#REF!</v>
      </c>
      <c r="J39" s="446" t="e">
        <f aca="false">J40-J38</f>
        <v>#REF!</v>
      </c>
      <c r="K39" s="446" t="e">
        <f aca="false">K40-K38</f>
        <v>#REF!</v>
      </c>
      <c r="L39" s="446" t="e">
        <f aca="false">L40-L38</f>
        <v>#REF!</v>
      </c>
      <c r="M39" s="446" t="e">
        <f aca="false">M40-M38</f>
        <v>#REF!</v>
      </c>
      <c r="N39" s="446" t="e">
        <f aca="false">N40-N38</f>
        <v>#REF!</v>
      </c>
      <c r="O39" s="446" t="e">
        <f aca="false">O40-O38</f>
        <v>#REF!</v>
      </c>
      <c r="P39" s="446" t="e">
        <f aca="false">P40-P38</f>
        <v>#REF!</v>
      </c>
      <c r="Q39" s="446" t="e">
        <f aca="false">Q40-Q38</f>
        <v>#REF!</v>
      </c>
      <c r="R39" s="446" t="e">
        <f aca="false">R40-R38</f>
        <v>#REF!</v>
      </c>
    </row>
    <row r="40" customFormat="false" ht="12.75" hidden="false" customHeight="false" outlineLevel="0" collapsed="false">
      <c r="A40" s="463" t="s">
        <v>276</v>
      </c>
      <c r="B40" s="534" t="n">
        <f aca="false">Assumptions!D21</f>
        <v>0.385</v>
      </c>
      <c r="C40" s="535"/>
      <c r="E40" s="513"/>
      <c r="F40" s="513"/>
      <c r="G40" s="513"/>
      <c r="H40" s="513" t="e">
        <f aca="false">$B$40*H36</f>
        <v>#REF!</v>
      </c>
      <c r="I40" s="95" t="e">
        <f aca="false">$B$40*I36</f>
        <v>#REF!</v>
      </c>
      <c r="J40" s="95" t="e">
        <f aca="false">$B$40*J36</f>
        <v>#REF!</v>
      </c>
      <c r="K40" s="95" t="e">
        <f aca="false">$B$40*K36</f>
        <v>#REF!</v>
      </c>
      <c r="L40" s="95" t="e">
        <f aca="false">$B$40*L36</f>
        <v>#REF!</v>
      </c>
      <c r="M40" s="95" t="e">
        <f aca="false">$B$40*M36</f>
        <v>#REF!</v>
      </c>
      <c r="N40" s="95" t="e">
        <f aca="false">$B$40*N36</f>
        <v>#REF!</v>
      </c>
      <c r="O40" s="95" t="e">
        <f aca="false">$B$40*O36</f>
        <v>#REF!</v>
      </c>
      <c r="P40" s="95" t="e">
        <f aca="false">$B$40*P36</f>
        <v>#REF!</v>
      </c>
      <c r="Q40" s="95" t="e">
        <f aca="false">$B$40*Q36</f>
        <v>#REF!</v>
      </c>
      <c r="R40" s="95" t="e">
        <f aca="false">$B$40*R36</f>
        <v>#REF!</v>
      </c>
    </row>
    <row r="41" customFormat="false" ht="12.75" hidden="false" customHeight="false" outlineLevel="0" collapsed="false">
      <c r="A41" s="95"/>
      <c r="E41" s="510"/>
      <c r="F41" s="510"/>
      <c r="G41" s="510"/>
      <c r="H41" s="508"/>
    </row>
    <row r="42" customFormat="false" ht="12.75" hidden="false" customHeight="false" outlineLevel="0" collapsed="false">
      <c r="A42" s="536" t="s">
        <v>237</v>
      </c>
      <c r="B42" s="299"/>
      <c r="C42" s="299"/>
      <c r="D42" s="299"/>
      <c r="E42" s="537"/>
      <c r="F42" s="537"/>
      <c r="G42" s="537"/>
      <c r="H42" s="531" t="e">
        <f aca="false">H36-H40</f>
        <v>#REF!</v>
      </c>
      <c r="I42" s="538" t="e">
        <f aca="false">I36-I40</f>
        <v>#REF!</v>
      </c>
      <c r="J42" s="538" t="e">
        <f aca="false">J36-J40</f>
        <v>#REF!</v>
      </c>
      <c r="K42" s="538" t="e">
        <f aca="false">K36-K40</f>
        <v>#REF!</v>
      </c>
      <c r="L42" s="538" t="e">
        <f aca="false">L36-L40</f>
        <v>#REF!</v>
      </c>
      <c r="M42" s="538" t="e">
        <f aca="false">M36-M40</f>
        <v>#REF!</v>
      </c>
      <c r="N42" s="538" t="e">
        <f aca="false">N36-N40</f>
        <v>#REF!</v>
      </c>
      <c r="O42" s="538" t="e">
        <f aca="false">O36-O40</f>
        <v>#REF!</v>
      </c>
      <c r="P42" s="538" t="e">
        <f aca="false">P36-P40</f>
        <v>#REF!</v>
      </c>
      <c r="Q42" s="538" t="e">
        <f aca="false">Q36-Q40</f>
        <v>#REF!</v>
      </c>
      <c r="R42" s="539" t="e">
        <f aca="false">R36-R40</f>
        <v>#REF!</v>
      </c>
    </row>
    <row r="43" customFormat="false" ht="12.75" hidden="false" customHeight="false" outlineLevel="0" collapsed="false">
      <c r="A43" s="95"/>
      <c r="E43" s="510"/>
      <c r="F43" s="526"/>
      <c r="G43" s="526"/>
      <c r="H43" s="526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40"/>
      <c r="T43" s="449"/>
    </row>
    <row r="44" customFormat="false" ht="12.75" hidden="false" customHeight="false" outlineLevel="0" collapsed="false">
      <c r="A44" s="541" t="s">
        <v>280</v>
      </c>
      <c r="E44" s="520"/>
      <c r="F44" s="520"/>
      <c r="G44" s="520"/>
      <c r="H44" s="520" t="e">
        <f aca="false">H42+H39+H35</f>
        <v>#REF!</v>
      </c>
      <c r="I44" s="443" t="e">
        <f aca="false">I42+I39+I35</f>
        <v>#REF!</v>
      </c>
      <c r="J44" s="443" t="e">
        <f aca="false">J42+J39+J35</f>
        <v>#REF!</v>
      </c>
      <c r="K44" s="443" t="e">
        <f aca="false">K42+K39+K35</f>
        <v>#REF!</v>
      </c>
      <c r="L44" s="443" t="e">
        <f aca="false">L42+L39+L35</f>
        <v>#REF!</v>
      </c>
      <c r="M44" s="443" t="e">
        <f aca="false">M42+M39+M35</f>
        <v>#REF!</v>
      </c>
      <c r="N44" s="443" t="e">
        <f aca="false">N42+N39+N35</f>
        <v>#REF!</v>
      </c>
      <c r="O44" s="443" t="e">
        <f aca="false">O42+O39+O35</f>
        <v>#REF!</v>
      </c>
      <c r="P44" s="443" t="e">
        <f aca="false">P42+P39+P35</f>
        <v>#REF!</v>
      </c>
      <c r="Q44" s="443" t="e">
        <f aca="false">Q42+Q39+Q35</f>
        <v>#REF!</v>
      </c>
      <c r="R44" s="443" t="e">
        <f aca="false">R42+R39+R35</f>
        <v>#REF!</v>
      </c>
      <c r="T44" s="95"/>
    </row>
    <row r="45" customFormat="false" ht="12.75" hidden="false" customHeight="false" outlineLevel="0" collapsed="false">
      <c r="A45" s="95"/>
      <c r="E45" s="510"/>
      <c r="F45" s="510"/>
      <c r="G45" s="510"/>
      <c r="H45" s="508"/>
      <c r="T45" s="95"/>
    </row>
    <row r="46" customFormat="false" ht="12.75" hidden="false" customHeight="false" outlineLevel="0" collapsed="false">
      <c r="A46" s="541" t="s">
        <v>243</v>
      </c>
      <c r="B46" s="507" t="s">
        <v>268</v>
      </c>
      <c r="E46" s="520"/>
      <c r="F46" s="520"/>
      <c r="G46" s="520"/>
      <c r="H46" s="520" t="e">
        <f aca="false">SUM(H47:H49)</f>
        <v>#REF!</v>
      </c>
      <c r="I46" s="443" t="e">
        <f aca="false">SUM(I47:I49)</f>
        <v>#REF!</v>
      </c>
      <c r="J46" s="443" t="e">
        <f aca="false">SUM(J47:J49)</f>
        <v>#REF!</v>
      </c>
      <c r="K46" s="443" t="e">
        <f aca="false">SUM(K47:K49)</f>
        <v>#REF!</v>
      </c>
      <c r="L46" s="443" t="e">
        <f aca="false">SUM(L47:L49)</f>
        <v>#REF!</v>
      </c>
      <c r="M46" s="443" t="e">
        <f aca="false">SUM(M47:M49)</f>
        <v>#REF!</v>
      </c>
      <c r="N46" s="443" t="e">
        <f aca="false">SUM(N47:N49)</f>
        <v>#REF!</v>
      </c>
      <c r="O46" s="443" t="e">
        <f aca="false">SUM(O47:O49)</f>
        <v>#REF!</v>
      </c>
      <c r="P46" s="443" t="e">
        <f aca="false">SUM(P47:P49)</f>
        <v>#REF!</v>
      </c>
      <c r="Q46" s="443" t="e">
        <f aca="false">SUM(Q47:Q49)</f>
        <v>#REF!</v>
      </c>
      <c r="R46" s="443" t="e">
        <f aca="false">SUM(R47:R49)</f>
        <v>#REF!</v>
      </c>
      <c r="T46" s="95"/>
    </row>
    <row r="47" customFormat="false" ht="12.75" hidden="false" customHeight="false" outlineLevel="0" collapsed="false">
      <c r="A47" s="463" t="str">
        <f aca="false">A17</f>
        <v>Panhandle Eastern</v>
      </c>
      <c r="B47" s="512" t="n">
        <f aca="false">B31</f>
        <v>1</v>
      </c>
      <c r="E47" s="520"/>
      <c r="F47" s="520"/>
      <c r="G47" s="520"/>
      <c r="H47" s="520" t="e">
        <f aca="false">#REF!*$B$47</f>
        <v>#REF!</v>
      </c>
      <c r="I47" s="443" t="e">
        <f aca="false">#REF!*$B$47</f>
        <v>#REF!</v>
      </c>
      <c r="J47" s="443" t="e">
        <f aca="false">#REF!*$B$47</f>
        <v>#REF!</v>
      </c>
      <c r="K47" s="443" t="e">
        <f aca="false">#REF!*$B$47</f>
        <v>#REF!</v>
      </c>
      <c r="L47" s="443" t="e">
        <f aca="false">#REF!*$B$47</f>
        <v>#REF!</v>
      </c>
      <c r="M47" s="443" t="e">
        <f aca="false">#REF!*$B$47</f>
        <v>#REF!</v>
      </c>
      <c r="N47" s="443" t="e">
        <f aca="false">#REF!*$B$47</f>
        <v>#REF!</v>
      </c>
      <c r="O47" s="443" t="e">
        <f aca="false">#REF!*$B$47</f>
        <v>#REF!</v>
      </c>
      <c r="P47" s="443" t="e">
        <f aca="false">#REF!*$B$47</f>
        <v>#REF!</v>
      </c>
      <c r="Q47" s="443" t="e">
        <f aca="false">#REF!*$B$47</f>
        <v>#REF!</v>
      </c>
      <c r="R47" s="443" t="e">
        <f aca="false">#REF!*$B$47</f>
        <v>#REF!</v>
      </c>
      <c r="S47" s="540"/>
      <c r="T47" s="95"/>
    </row>
    <row r="48" customFormat="false" ht="12.75" hidden="false" customHeight="false" outlineLevel="0" collapsed="false">
      <c r="A48" s="463" t="str">
        <f aca="false">A18</f>
        <v>Consumers Energy</v>
      </c>
      <c r="B48" s="512" t="n">
        <f aca="false">B32</f>
        <v>1</v>
      </c>
      <c r="E48" s="520"/>
      <c r="F48" s="520"/>
      <c r="G48" s="520"/>
      <c r="H48" s="520" t="n">
        <f aca="false">'Consumers DCF'!G33*$B$48</f>
        <v>700</v>
      </c>
      <c r="I48" s="443" t="n">
        <f aca="false">'Consumers DCF'!H33*$B$48</f>
        <v>700</v>
      </c>
      <c r="J48" s="443" t="n">
        <f aca="false">'Consumers DCF'!I33*$B$48</f>
        <v>490</v>
      </c>
      <c r="K48" s="443" t="n">
        <f aca="false">'Consumers DCF'!J33*$B$48</f>
        <v>496.25</v>
      </c>
      <c r="L48" s="443" t="n">
        <f aca="false">'Consumers DCF'!K33*$B$48</f>
        <v>502.5895</v>
      </c>
      <c r="M48" s="443" t="n">
        <f aca="false">'Consumers DCF'!L33*$B$48</f>
        <v>509.019935</v>
      </c>
      <c r="N48" s="443" t="n">
        <f aca="false">'Consumers DCF'!M33*$B$48</f>
        <v>515.54276515</v>
      </c>
      <c r="O48" s="443" t="n">
        <f aca="false">'Consumers DCF'!N33*$B$48</f>
        <v>522.1594762175</v>
      </c>
      <c r="P48" s="443" t="n">
        <f aca="false">'Consumers DCF'!O33*$B$48</f>
        <v>528.871580063995</v>
      </c>
      <c r="Q48" s="443" t="n">
        <f aca="false">'Consumers DCF'!P33*$B$48</f>
        <v>535.680615130641</v>
      </c>
      <c r="R48" s="443" t="n">
        <f aca="false">'Consumers DCF'!Q33*$B$48</f>
        <v>542.588146933274</v>
      </c>
      <c r="S48" s="540"/>
      <c r="T48" s="95"/>
    </row>
    <row r="49" customFormat="false" ht="12.75" hidden="false" customHeight="false" outlineLevel="0" collapsed="false">
      <c r="A49" s="463" t="str">
        <f aca="false">A19</f>
        <v>Other</v>
      </c>
      <c r="B49" s="512" t="n">
        <f aca="false">B33</f>
        <v>1</v>
      </c>
      <c r="E49" s="520"/>
      <c r="F49" s="520"/>
      <c r="G49" s="520"/>
      <c r="H49" s="520" t="n">
        <f aca="false">'Corp DCF'!G33*$B$49</f>
        <v>355</v>
      </c>
      <c r="I49" s="443" t="n">
        <f aca="false">'Corp DCF'!H33*$B$49</f>
        <v>420</v>
      </c>
      <c r="J49" s="443" t="n">
        <f aca="false">'Corp DCF'!I33*$B$49</f>
        <v>500</v>
      </c>
      <c r="K49" s="443" t="n">
        <f aca="false">'Corp DCF'!J33*$B$49</f>
        <v>512.3</v>
      </c>
      <c r="L49" s="443" t="n">
        <f aca="false">'Corp DCF'!K33*$B$49</f>
        <v>524.918</v>
      </c>
      <c r="M49" s="443" t="n">
        <f aca="false">'Corp DCF'!L33*$B$49</f>
        <v>537.86255</v>
      </c>
      <c r="N49" s="443" t="n">
        <f aca="false">'Corp DCF'!M33*$B$49</f>
        <v>551.142437</v>
      </c>
      <c r="O49" s="443" t="n">
        <f aca="false">'Corp DCF'!N33*$B$49</f>
        <v>564.766691723</v>
      </c>
      <c r="P49" s="443" t="n">
        <f aca="false">'Corp DCF'!O33*$B$49</f>
        <v>578.74459553198</v>
      </c>
      <c r="Q49" s="443" t="n">
        <f aca="false">'Corp DCF'!P33*$B$49</f>
        <v>593.085687546526</v>
      </c>
      <c r="R49" s="443" t="n">
        <f aca="false">'Corp DCF'!Q33*$B$49</f>
        <v>607.799771964931</v>
      </c>
      <c r="S49" s="542" t="n">
        <f aca="false">Scenarios!C5</f>
        <v>12</v>
      </c>
      <c r="T49" s="95"/>
    </row>
    <row r="50" customFormat="false" ht="13.5" hidden="false" customHeight="false" outlineLevel="0" collapsed="false">
      <c r="A50" s="543" t="s">
        <v>281</v>
      </c>
      <c r="B50" s="299"/>
      <c r="C50" s="299"/>
      <c r="D50" s="299"/>
      <c r="E50" s="515" t="n">
        <f aca="false">E44-E46</f>
        <v>0</v>
      </c>
      <c r="F50" s="515" t="n">
        <f aca="false">F44-F46</f>
        <v>0</v>
      </c>
      <c r="G50" s="515" t="n">
        <f aca="false">G44-G46</f>
        <v>0</v>
      </c>
      <c r="H50" s="515" t="e">
        <f aca="false">H44-H46</f>
        <v>#REF!</v>
      </c>
      <c r="I50" s="516" t="e">
        <f aca="false">I44-I46</f>
        <v>#REF!</v>
      </c>
      <c r="J50" s="516" t="e">
        <f aca="false">J44-J46</f>
        <v>#REF!</v>
      </c>
      <c r="K50" s="516" t="e">
        <f aca="false">K44-K46</f>
        <v>#REF!</v>
      </c>
      <c r="L50" s="516" t="e">
        <f aca="false">L44-L46</f>
        <v>#REF!</v>
      </c>
      <c r="M50" s="516" t="e">
        <f aca="false">M44-M46</f>
        <v>#REF!</v>
      </c>
      <c r="N50" s="516" t="e">
        <f aca="false">N44-N46</f>
        <v>#REF!</v>
      </c>
      <c r="O50" s="516" t="e">
        <f aca="false">O44-O46</f>
        <v>#REF!</v>
      </c>
      <c r="P50" s="516" t="e">
        <f aca="false">P44-P46</f>
        <v>#REF!</v>
      </c>
      <c r="Q50" s="516" t="e">
        <f aca="false">Q44-Q46</f>
        <v>#REF!</v>
      </c>
      <c r="R50" s="516" t="e">
        <f aca="false">R44-R46</f>
        <v>#REF!</v>
      </c>
      <c r="S50" s="544" t="n">
        <f aca="false">S49*R23</f>
        <v>4177441.4099665</v>
      </c>
      <c r="T50" s="95"/>
    </row>
    <row r="51" customFormat="false" ht="13.5" hidden="false" customHeight="false" outlineLevel="1" collapsed="false">
      <c r="A51" s="545"/>
      <c r="B51" s="17"/>
      <c r="C51" s="17"/>
      <c r="D51" s="17"/>
      <c r="E51" s="546" t="s">
        <v>282</v>
      </c>
      <c r="F51" s="547" t="e">
        <f aca="false">IRR(G51:S51)</f>
        <v>#REF!</v>
      </c>
      <c r="G51" s="443" t="n">
        <f aca="false">-CPurPrice</f>
        <v>-12590.9483764403</v>
      </c>
      <c r="H51" s="443" t="e">
        <f aca="false">H50</f>
        <v>#REF!</v>
      </c>
      <c r="I51" s="443" t="e">
        <f aca="false">I50</f>
        <v>#REF!</v>
      </c>
      <c r="J51" s="443" t="e">
        <f aca="false">J50</f>
        <v>#REF!</v>
      </c>
      <c r="K51" s="443" t="e">
        <f aca="false">K50</f>
        <v>#REF!</v>
      </c>
      <c r="L51" s="443" t="e">
        <f aca="false">L50</f>
        <v>#REF!</v>
      </c>
      <c r="M51" s="443" t="e">
        <f aca="false">M50</f>
        <v>#REF!</v>
      </c>
      <c r="N51" s="443" t="e">
        <f aca="false">N50</f>
        <v>#REF!</v>
      </c>
      <c r="O51" s="443" t="e">
        <f aca="false">O50</f>
        <v>#REF!</v>
      </c>
      <c r="P51" s="443" t="e">
        <f aca="false">P50</f>
        <v>#REF!</v>
      </c>
      <c r="Q51" s="443" t="e">
        <f aca="false">Q50</f>
        <v>#REF!</v>
      </c>
      <c r="R51" s="443" t="e">
        <f aca="false">R50</f>
        <v>#REF!</v>
      </c>
      <c r="S51" s="443" t="n">
        <f aca="false">S50</f>
        <v>4177441.4099665</v>
      </c>
      <c r="T51" s="95"/>
    </row>
    <row r="52" customFormat="false" ht="12.75" hidden="false" customHeight="false" outlineLevel="1" collapsed="false">
      <c r="A52" s="545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95"/>
      <c r="T52" s="95"/>
    </row>
    <row r="53" customFormat="false" ht="12.75" hidden="false" customHeight="false" outlineLevel="1" collapsed="false">
      <c r="A53" s="548" t="s">
        <v>283</v>
      </c>
      <c r="B53" s="549" t="n">
        <f aca="false">Assumptions!D22</f>
        <v>40</v>
      </c>
      <c r="C53" s="549"/>
      <c r="D53" s="95" t="n">
        <f aca="false">'Fin Stats and Ratios'!K10</f>
        <v>2905569.701882</v>
      </c>
      <c r="E53" s="95"/>
      <c r="F53" s="443"/>
      <c r="G53" s="550"/>
      <c r="H53" s="551" t="n">
        <f aca="false">1/B53</f>
        <v>0.025</v>
      </c>
      <c r="I53" s="551" t="n">
        <f aca="false">H53</f>
        <v>0.025</v>
      </c>
      <c r="J53" s="551" t="n">
        <f aca="false">I53</f>
        <v>0.025</v>
      </c>
      <c r="K53" s="551" t="n">
        <f aca="false">J53</f>
        <v>0.025</v>
      </c>
      <c r="L53" s="551" t="n">
        <f aca="false">K53</f>
        <v>0.025</v>
      </c>
      <c r="M53" s="551" t="n">
        <f aca="false">L53</f>
        <v>0.025</v>
      </c>
      <c r="N53" s="551" t="n">
        <f aca="false">M53</f>
        <v>0.025</v>
      </c>
      <c r="O53" s="551" t="n">
        <f aca="false">N53</f>
        <v>0.025</v>
      </c>
      <c r="P53" s="551" t="n">
        <f aca="false">O53</f>
        <v>0.025</v>
      </c>
      <c r="Q53" s="551" t="n">
        <f aca="false">P53</f>
        <v>0.025</v>
      </c>
      <c r="R53" s="552" t="n">
        <f aca="false">Q53</f>
        <v>0.025</v>
      </c>
      <c r="S53" s="95"/>
      <c r="T53" s="95"/>
    </row>
    <row r="54" customFormat="false" ht="12.75" hidden="false" customHeight="false" outlineLevel="1" collapsed="false">
      <c r="A54" s="95" t="s">
        <v>284</v>
      </c>
      <c r="D54" s="553"/>
      <c r="E54" s="553"/>
      <c r="F54" s="443"/>
      <c r="G54" s="550"/>
      <c r="H54" s="443" t="n">
        <f aca="false">D53/B53</f>
        <v>72639.2425470499</v>
      </c>
      <c r="I54" s="443" t="n">
        <f aca="false">+H54</f>
        <v>72639.2425470499</v>
      </c>
      <c r="J54" s="443" t="n">
        <f aca="false">+I54</f>
        <v>72639.2425470499</v>
      </c>
      <c r="K54" s="443" t="n">
        <f aca="false">+J54</f>
        <v>72639.2425470499</v>
      </c>
      <c r="L54" s="443" t="n">
        <f aca="false">+K54</f>
        <v>72639.2425470499</v>
      </c>
      <c r="M54" s="443" t="n">
        <f aca="false">+L54</f>
        <v>72639.2425470499</v>
      </c>
      <c r="N54" s="443" t="n">
        <f aca="false">+M54</f>
        <v>72639.2425470499</v>
      </c>
      <c r="O54" s="443" t="n">
        <f aca="false">+N54</f>
        <v>72639.2425470499</v>
      </c>
      <c r="P54" s="443" t="n">
        <f aca="false">+O54</f>
        <v>72639.2425470499</v>
      </c>
      <c r="Q54" s="443" t="n">
        <f aca="false">+P54</f>
        <v>72639.2425470499</v>
      </c>
      <c r="R54" s="443" t="n">
        <f aca="false">+Q54</f>
        <v>72639.2425470499</v>
      </c>
      <c r="S54" s="95"/>
      <c r="T54" s="95"/>
    </row>
    <row r="55" customFormat="false" ht="15" hidden="false" customHeight="false" outlineLevel="1" collapsed="false">
      <c r="A55" s="95" t="s">
        <v>285</v>
      </c>
      <c r="F55" s="443"/>
      <c r="G55" s="550"/>
      <c r="H55" s="446" t="e">
        <f aca="false">($H$46*H$53)</f>
        <v>#REF!</v>
      </c>
      <c r="I55" s="446" t="e">
        <f aca="false">($H$46*I53)+($I$46*H53)</f>
        <v>#REF!</v>
      </c>
      <c r="J55" s="446" t="e">
        <f aca="false">($H$46*J53)+($I$46*I53)+($J$46*H53)</f>
        <v>#REF!</v>
      </c>
      <c r="K55" s="446" t="e">
        <f aca="false">($H$46*K53)+($I$46*J53)+($J$46*I53)+($K$46*H53)</f>
        <v>#REF!</v>
      </c>
      <c r="L55" s="446" t="e">
        <f aca="false">($H$46*L53)+($I$46*K53)+($J$46*J53)+($K$46*I53)+($L$46*H53)</f>
        <v>#REF!</v>
      </c>
      <c r="M55" s="446" t="e">
        <f aca="false">($H$46*M53)+($I$46*L53)+($J$46*K53)+($K$46*J53)+($L$46*I53)+($M$46*H53)</f>
        <v>#REF!</v>
      </c>
      <c r="N55" s="446" t="e">
        <f aca="false">($H$46*N53)+($I$46*M53)+($J$46*L53)+($K$46*K53)+($L$46*J53)+($M$46*I53)+($N$46*H53)</f>
        <v>#REF!</v>
      </c>
      <c r="O55" s="446" t="e">
        <f aca="false">($H$46*O53)+($I$46*N53)+($J$46*M53)+($K$46*L53)+($L$46*K53)+($M$46*J53)+($N$46*I53)+($O$46*H53)</f>
        <v>#REF!</v>
      </c>
      <c r="P55" s="446" t="e">
        <f aca="false">($H$46*P53)+($I$46*O53)+($J$46*N53)+($K$46*M53)+($L$46*L53)+($M$46*K53)+($N$46*J53)+($O$46*I53)+($P$46*H53)</f>
        <v>#REF!</v>
      </c>
      <c r="Q55" s="446" t="e">
        <f aca="false">($H$46*Q53)+($I$46*P53)+($J$46*O53)+($K$46*N53)+($L$46*M53)+($M$46*L53)+($N$46*K53)+($O$46*J53)+($P$46*I53)+($Q$46*H53)</f>
        <v>#REF!</v>
      </c>
      <c r="R55" s="446" t="e">
        <f aca="false">($H$46*R53)+($I$46*Q53)+($J$46*P53)+($K$46*O53)+($L$46*N53)+($M$46*M53)+($N$46*L53)+($O$46*K53)+($P$46*J53)+($Q$46*I53)+($R$46*H53)</f>
        <v>#REF!</v>
      </c>
      <c r="S55" s="95"/>
      <c r="T55" s="95"/>
    </row>
    <row r="56" customFormat="false" ht="12.75" hidden="false" customHeight="false" outlineLevel="1" collapsed="false">
      <c r="A56" s="511" t="s">
        <v>276</v>
      </c>
      <c r="F56" s="443"/>
      <c r="G56" s="550"/>
      <c r="H56" s="443" t="e">
        <f aca="false">+H54+H55</f>
        <v>#REF!</v>
      </c>
      <c r="I56" s="443" t="e">
        <f aca="false">+I54+I55</f>
        <v>#REF!</v>
      </c>
      <c r="J56" s="443" t="e">
        <f aca="false">+J54+J55</f>
        <v>#REF!</v>
      </c>
      <c r="K56" s="443" t="e">
        <f aca="false">+K54+K55</f>
        <v>#REF!</v>
      </c>
      <c r="L56" s="443" t="e">
        <f aca="false">+L54+L55</f>
        <v>#REF!</v>
      </c>
      <c r="M56" s="443" t="e">
        <f aca="false">+M54+M55</f>
        <v>#REF!</v>
      </c>
      <c r="N56" s="443" t="e">
        <f aca="false">+N54+N55</f>
        <v>#REF!</v>
      </c>
      <c r="O56" s="443" t="e">
        <f aca="false">+O54+O55</f>
        <v>#REF!</v>
      </c>
      <c r="P56" s="443" t="e">
        <f aca="false">+P54+P55</f>
        <v>#REF!</v>
      </c>
      <c r="Q56" s="443" t="e">
        <f aca="false">+Q54+Q55</f>
        <v>#REF!</v>
      </c>
      <c r="R56" s="443" t="e">
        <f aca="false">+R54+R55</f>
        <v>#REF!</v>
      </c>
      <c r="S56" s="95"/>
      <c r="T56" s="95"/>
    </row>
    <row r="57" customFormat="false" ht="12.75" hidden="false" customHeight="false" outlineLevel="1" collapsed="false">
      <c r="A57" s="95"/>
      <c r="F57" s="449"/>
      <c r="G57" s="111"/>
      <c r="S57" s="554"/>
      <c r="T57" s="95"/>
    </row>
    <row r="58" customFormat="false" ht="12.75" hidden="false" customHeight="false" outlineLevel="1" collapsed="false">
      <c r="A58" s="548" t="s">
        <v>286</v>
      </c>
      <c r="F58" s="449"/>
      <c r="G58" s="111"/>
      <c r="H58" s="555" t="n">
        <v>0.05</v>
      </c>
      <c r="I58" s="556" t="n">
        <v>0.095</v>
      </c>
      <c r="J58" s="556" t="n">
        <v>0.0855</v>
      </c>
      <c r="K58" s="556" t="n">
        <v>0.077</v>
      </c>
      <c r="L58" s="556" t="n">
        <v>0.0693</v>
      </c>
      <c r="M58" s="556" t="n">
        <v>0.0623</v>
      </c>
      <c r="N58" s="556" t="n">
        <v>0.059</v>
      </c>
      <c r="O58" s="556" t="n">
        <v>0.059</v>
      </c>
      <c r="P58" s="556" t="n">
        <v>0.0591</v>
      </c>
      <c r="Q58" s="556" t="n">
        <v>0.059</v>
      </c>
      <c r="R58" s="557" t="n">
        <v>0.0591</v>
      </c>
      <c r="S58" s="554"/>
      <c r="T58" s="95"/>
    </row>
    <row r="59" customFormat="false" ht="12.75" hidden="false" customHeight="false" outlineLevel="1" collapsed="false">
      <c r="A59" s="95" t="s">
        <v>284</v>
      </c>
      <c r="B59" s="558"/>
      <c r="C59" s="558"/>
      <c r="F59" s="449"/>
      <c r="G59" s="111"/>
      <c r="H59" s="95" t="n">
        <f aca="false">H58*$D$53</f>
        <v>145278.4850941</v>
      </c>
      <c r="I59" s="95" t="n">
        <f aca="false">I58*$D$53</f>
        <v>276029.12167879</v>
      </c>
      <c r="J59" s="95" t="n">
        <f aca="false">J58*$D$53</f>
        <v>248426.209510911</v>
      </c>
      <c r="K59" s="95" t="n">
        <f aca="false">K58*$D$53</f>
        <v>223728.867044914</v>
      </c>
      <c r="L59" s="95" t="n">
        <f aca="false">L58*$D$53</f>
        <v>201355.980340422</v>
      </c>
      <c r="M59" s="95" t="n">
        <f aca="false">M58*$D$53</f>
        <v>181016.992427248</v>
      </c>
      <c r="N59" s="95" t="n">
        <f aca="false">N58*$D$53</f>
        <v>171428.612411038</v>
      </c>
      <c r="O59" s="95" t="n">
        <f aca="false">O58*$D$53</f>
        <v>171428.612411038</v>
      </c>
      <c r="P59" s="95" t="n">
        <f aca="false">P58*$D$53</f>
        <v>171719.169381226</v>
      </c>
      <c r="Q59" s="95" t="n">
        <f aca="false">Q58*$D$53</f>
        <v>171428.612411038</v>
      </c>
      <c r="R59" s="95" t="n">
        <f aca="false">R58*$D$53</f>
        <v>171719.169381226</v>
      </c>
    </row>
    <row r="60" customFormat="false" ht="15" hidden="false" customHeight="false" outlineLevel="1" collapsed="false">
      <c r="A60" s="95" t="s">
        <v>285</v>
      </c>
      <c r="B60" s="530"/>
      <c r="C60" s="530"/>
      <c r="F60" s="449"/>
      <c r="G60" s="111"/>
      <c r="H60" s="446" t="e">
        <f aca="false">($H$46*H$58)</f>
        <v>#REF!</v>
      </c>
      <c r="I60" s="446" t="e">
        <f aca="false">($H$46*I58)+($I$46*H58)</f>
        <v>#REF!</v>
      </c>
      <c r="J60" s="446" t="e">
        <f aca="false">($H$46*J58)+($I$46*I58)+($J$46*H58)</f>
        <v>#REF!</v>
      </c>
      <c r="K60" s="446" t="e">
        <f aca="false">($H$46*K58)+($I$46*J58)+($J$46*I58)+($K$46*H58)</f>
        <v>#REF!</v>
      </c>
      <c r="L60" s="446" t="e">
        <f aca="false">($H$46*L58)+($I$46*K58)+($J$46*J58)+($K$46*I58)+($L$46*H58)</f>
        <v>#REF!</v>
      </c>
      <c r="M60" s="446" t="e">
        <f aca="false">($H$46*M58)+($I$46*L58)+($J$46*K58)+($K$46*J58)+($L$46*I58)+($M$46*H58)</f>
        <v>#REF!</v>
      </c>
      <c r="N60" s="446" t="e">
        <f aca="false">($H$46*N58)+($I$46*M58)+($J$46*L58)+($K$46*K58)+($L$46*J58)+($M$46*I58)+($N$46*H58)</f>
        <v>#REF!</v>
      </c>
      <c r="O60" s="446" t="e">
        <f aca="false">($H$46*O58)+($I$46*N58)+($J$46*M58)+($K$46*L58)+($L$46*K58)+($M$46*J58)+($N$46*I58)+($O$46*H58)</f>
        <v>#REF!</v>
      </c>
      <c r="P60" s="446" t="e">
        <f aca="false">($H$46*P58)+($I$46*O58)+($J$46*N58)+($K$46*M58)+($L$46*L58)+($M$46*K58)+($N$46*J58)+($O$46*I58)+($P$46*H58)</f>
        <v>#REF!</v>
      </c>
      <c r="Q60" s="446" t="e">
        <f aca="false">($H$46*Q58)+($I$46*P58)+($J$46*O58)+($K$46*N58)+($L$46*M58)+($M$46*L58)+($N$46*K58)+($O$46*J58)+($P$46*I58)+($Q$46*H58)</f>
        <v>#REF!</v>
      </c>
      <c r="R60" s="446" t="e">
        <f aca="false">($H$46*R58)+($I$46*Q58)+($J$46*P58)+($K$46*O58)+($L$46*N58)+($M$46*M58)+($N$46*L58)+($O$46*K58)+($P$46*J58)+($Q$46*I58)+($R$46*H58)</f>
        <v>#REF!</v>
      </c>
    </row>
    <row r="61" customFormat="false" ht="12.75" hidden="false" customHeight="false" outlineLevel="1" collapsed="false">
      <c r="A61" s="511" t="s">
        <v>276</v>
      </c>
      <c r="F61" s="449"/>
      <c r="G61" s="111"/>
      <c r="H61" s="95" t="e">
        <f aca="false">SUM(H59:H60)</f>
        <v>#REF!</v>
      </c>
      <c r="I61" s="95" t="e">
        <f aca="false">SUM(I59:I60)</f>
        <v>#REF!</v>
      </c>
      <c r="J61" s="95" t="e">
        <f aca="false">SUM(J59:J60)</f>
        <v>#REF!</v>
      </c>
      <c r="K61" s="95" t="e">
        <f aca="false">SUM(K59:K60)</f>
        <v>#REF!</v>
      </c>
      <c r="L61" s="95" t="e">
        <f aca="false">SUM(L59:L60)</f>
        <v>#REF!</v>
      </c>
      <c r="M61" s="95" t="e">
        <f aca="false">SUM(M59:M60)</f>
        <v>#REF!</v>
      </c>
      <c r="N61" s="95" t="e">
        <f aca="false">SUM(N59:N60)</f>
        <v>#REF!</v>
      </c>
      <c r="O61" s="95" t="e">
        <f aca="false">SUM(O59:O60)</f>
        <v>#REF!</v>
      </c>
      <c r="P61" s="95" t="e">
        <f aca="false">SUM(P59:P60)</f>
        <v>#REF!</v>
      </c>
      <c r="Q61" s="95" t="e">
        <f aca="false">SUM(Q59:Q60)</f>
        <v>#REF!</v>
      </c>
      <c r="R61" s="95" t="e">
        <f aca="false">SUM(R59:R60)</f>
        <v>#REF!</v>
      </c>
    </row>
    <row r="62" customFormat="false" ht="12.75" hidden="false" customHeight="false" outlineLevel="1" collapsed="false">
      <c r="A62" s="511"/>
      <c r="F62" s="449"/>
      <c r="G62" s="83"/>
    </row>
    <row r="64" customFormat="false" ht="15" hidden="false" customHeight="false" outlineLevel="0" collapsed="false">
      <c r="A64" s="559" t="s">
        <v>287</v>
      </c>
      <c r="B64" s="560"/>
      <c r="C64" s="74"/>
      <c r="D64" s="561"/>
      <c r="E64" s="561"/>
      <c r="F64" s="561"/>
      <c r="G64" s="561"/>
      <c r="H64" s="561"/>
      <c r="I64" s="561"/>
      <c r="J64" s="561"/>
      <c r="K64" s="561"/>
      <c r="L64" s="89"/>
    </row>
    <row r="65" customFormat="false" ht="12.75" hidden="false" customHeight="false" outlineLevel="0" collapsed="false">
      <c r="A65" s="18" t="s">
        <v>252</v>
      </c>
      <c r="B65" s="95" t="n">
        <f aca="false">Assumptions!D16</f>
        <v>880000</v>
      </c>
      <c r="C65" s="83" t="s">
        <v>253</v>
      </c>
      <c r="D65" s="463" t="s">
        <v>254</v>
      </c>
      <c r="E65" s="464" t="n">
        <v>0.18</v>
      </c>
      <c r="F65" s="95"/>
      <c r="H65" s="465" t="n">
        <v>1.8</v>
      </c>
      <c r="I65" s="465" t="n">
        <v>2.1</v>
      </c>
      <c r="J65" s="466" t="n">
        <f aca="false">I65*(1+$E65)</f>
        <v>2.478</v>
      </c>
      <c r="K65" s="466" t="n">
        <f aca="false">J65*(1+$E65)</f>
        <v>2.92404</v>
      </c>
      <c r="L65" s="562" t="n">
        <f aca="false">K65*(1+$E65)</f>
        <v>3.4503672</v>
      </c>
    </row>
    <row r="66" customFormat="false" ht="12.75" hidden="false" customHeight="false" outlineLevel="0" collapsed="false">
      <c r="A66" s="18" t="s">
        <v>255</v>
      </c>
      <c r="B66" s="17"/>
      <c r="C66" s="17"/>
      <c r="D66" s="95"/>
      <c r="E66" s="95"/>
      <c r="F66" s="95"/>
      <c r="H66" s="95" t="n">
        <f aca="false">H65*$B$65+'Lev. Consolid'!D23*1000</f>
        <v>2031346.66359513</v>
      </c>
      <c r="I66" s="95" t="n">
        <f aca="false">I65*$B$65+'Lev. Consolid'!E23*1000</f>
        <v>2409464.01122851</v>
      </c>
      <c r="J66" s="95" t="n">
        <f aca="false">J65*$B$65+'Lev. Consolid'!F23*1000</f>
        <v>2881511.75786188</v>
      </c>
      <c r="K66" s="95" t="n">
        <f aca="false">K65*$B$65+'Lev. Consolid'!G23*1000</f>
        <v>3385413.72886525</v>
      </c>
      <c r="L66" s="563" t="n">
        <f aca="false">L65*$B$65+'Lev. Consolid'!H23*1000</f>
        <v>3972636.86555452</v>
      </c>
    </row>
    <row r="67" customFormat="false" ht="12.75" hidden="false" customHeight="false" outlineLevel="0" collapsed="false">
      <c r="A67" s="18" t="s">
        <v>256</v>
      </c>
      <c r="B67" s="564" t="e">
        <f aca="false">O88</f>
        <v>#REF!</v>
      </c>
      <c r="C67" s="17" t="s">
        <v>257</v>
      </c>
      <c r="D67" s="95"/>
      <c r="E67" s="95"/>
      <c r="F67" s="95"/>
      <c r="H67" s="17"/>
      <c r="I67" s="17"/>
      <c r="J67" s="17"/>
      <c r="K67" s="17"/>
      <c r="L67" s="67"/>
    </row>
    <row r="68" customFormat="false" ht="12.75" hidden="false" customHeight="false" outlineLevel="0" collapsed="false">
      <c r="A68" s="565" t="s">
        <v>258</v>
      </c>
      <c r="B68" s="469" t="n">
        <f aca="false">Assumptions!D17</f>
        <v>28.3</v>
      </c>
      <c r="C68" s="17"/>
      <c r="D68" s="95"/>
      <c r="E68" s="95"/>
      <c r="F68" s="95"/>
      <c r="H68" s="17"/>
      <c r="I68" s="17"/>
      <c r="J68" s="17"/>
      <c r="K68" s="17"/>
      <c r="L68" s="67"/>
    </row>
    <row r="69" customFormat="false" ht="12.75" hidden="false" customHeight="false" outlineLevel="0" collapsed="false">
      <c r="A69" s="18" t="s">
        <v>259</v>
      </c>
      <c r="B69" s="95" t="e">
        <f aca="false">B67*1000/B68</f>
        <v>#REF!</v>
      </c>
      <c r="C69" s="17"/>
      <c r="D69" s="95"/>
      <c r="E69" s="95"/>
      <c r="F69" s="95"/>
      <c r="H69" s="17"/>
      <c r="I69" s="17"/>
      <c r="J69" s="17"/>
      <c r="K69" s="17"/>
      <c r="L69" s="67"/>
    </row>
    <row r="70" customFormat="false" ht="12.75" hidden="false" customHeight="false" outlineLevel="0" collapsed="false">
      <c r="A70" s="18" t="s">
        <v>260</v>
      </c>
      <c r="B70" s="566" t="e">
        <f aca="false">B65+B69</f>
        <v>#REF!</v>
      </c>
      <c r="C70" s="83" t="s">
        <v>253</v>
      </c>
      <c r="D70" s="95"/>
      <c r="E70" s="95"/>
      <c r="F70" s="95"/>
      <c r="H70" s="567" t="e">
        <f aca="false">H66/$B$70</f>
        <v>#REF!</v>
      </c>
      <c r="I70" s="567" t="e">
        <f aca="false">I66/$B$70</f>
        <v>#REF!</v>
      </c>
      <c r="J70" s="567" t="e">
        <f aca="false">J66/$B$70</f>
        <v>#REF!</v>
      </c>
      <c r="K70" s="567" t="e">
        <f aca="false">K66/$B$70</f>
        <v>#REF!</v>
      </c>
      <c r="L70" s="568" t="e">
        <f aca="false">L66/$B$70</f>
        <v>#REF!</v>
      </c>
    </row>
    <row r="71" customFormat="false" ht="13.5" hidden="false" customHeight="false" outlineLevel="0" collapsed="false">
      <c r="A71" s="18" t="s">
        <v>261</v>
      </c>
      <c r="B71" s="566"/>
      <c r="C71" s="17"/>
      <c r="D71" s="17"/>
      <c r="E71" s="17"/>
      <c r="F71" s="17"/>
      <c r="H71" s="569" t="e">
        <f aca="false">H70-H65</f>
        <v>#REF!</v>
      </c>
      <c r="I71" s="569" t="e">
        <f aca="false">I70-I65</f>
        <v>#REF!</v>
      </c>
      <c r="J71" s="569" t="e">
        <f aca="false">J70-J65</f>
        <v>#REF!</v>
      </c>
      <c r="K71" s="569" t="e">
        <f aca="false">K70-K65</f>
        <v>#REF!</v>
      </c>
      <c r="L71" s="570" t="e">
        <f aca="false">L70-L65</f>
        <v>#REF!</v>
      </c>
    </row>
    <row r="72" customFormat="false" ht="13.5" hidden="false" customHeight="false" outlineLevel="0" collapsed="false">
      <c r="A72" s="93"/>
      <c r="B72" s="571"/>
      <c r="C72" s="103"/>
      <c r="D72" s="103"/>
      <c r="E72" s="103"/>
      <c r="F72" s="103"/>
      <c r="G72" s="572"/>
      <c r="H72" s="572"/>
      <c r="I72" s="572"/>
      <c r="J72" s="572"/>
      <c r="K72" s="572"/>
      <c r="L72" s="123"/>
    </row>
    <row r="73" customFormat="false" ht="15" hidden="false" customHeight="false" outlineLevel="0" collapsed="false">
      <c r="A73" s="559" t="str">
        <f aca="false">'Lev. Consolid'!A39</f>
        <v>Incremental Earnings (50% Debt, 50% Equity)</v>
      </c>
      <c r="B73" s="560"/>
      <c r="C73" s="74"/>
      <c r="D73" s="561"/>
      <c r="E73" s="561"/>
      <c r="F73" s="561"/>
      <c r="G73" s="74"/>
      <c r="H73" s="561"/>
      <c r="I73" s="561"/>
      <c r="J73" s="561"/>
      <c r="K73" s="561"/>
      <c r="L73" s="573"/>
    </row>
    <row r="74" customFormat="false" ht="12.75" hidden="false" customHeight="false" outlineLevel="0" collapsed="false">
      <c r="A74" s="18" t="str">
        <f aca="false">'Lev. Consolid'!A40</f>
        <v>ENRON'S BASE EPS</v>
      </c>
      <c r="B74" s="95" t="n">
        <f aca="false">'Lev. Consolid'!B40</f>
        <v>880000</v>
      </c>
      <c r="C74" s="83" t="str">
        <f aca="false">'Lev. Consolid'!C40</f>
        <v>M Shares</v>
      </c>
      <c r="D74" s="463" t="str">
        <f aca="false">'Lev. Consolid'!D40</f>
        <v>Growth of</v>
      </c>
      <c r="E74" s="464" t="n">
        <f aca="false">'Lev. Consolid'!E40</f>
        <v>0.18</v>
      </c>
      <c r="F74" s="95"/>
      <c r="H74" s="465" t="n">
        <f aca="false">'Lev. Consolid'!G40</f>
        <v>1.8</v>
      </c>
      <c r="I74" s="465" t="n">
        <f aca="false">'Lev. Consolid'!H40</f>
        <v>2.1</v>
      </c>
      <c r="J74" s="466" t="n">
        <f aca="false">'Lev. Consolid'!I40</f>
        <v>2.478</v>
      </c>
      <c r="K74" s="466" t="n">
        <f aca="false">'Lev. Consolid'!J40</f>
        <v>2.92404</v>
      </c>
      <c r="L74" s="562" t="n">
        <f aca="false">'Lev. Consolid'!K40</f>
        <v>3.4503672</v>
      </c>
    </row>
    <row r="75" customFormat="false" ht="12.75" hidden="false" customHeight="false" outlineLevel="0" collapsed="false">
      <c r="A75" s="18" t="str">
        <f aca="false">'Lev. Consolid'!A41</f>
        <v>  Pro Forma Earnings (Inc. interest on Dividends)</v>
      </c>
      <c r="B75" s="17"/>
      <c r="C75" s="17"/>
      <c r="D75" s="95"/>
      <c r="E75" s="95"/>
      <c r="F75" s="95"/>
      <c r="H75" s="95" t="e">
        <f aca="false">'Lev. Consolid'!G41</f>
        <v>#REF!</v>
      </c>
      <c r="I75" s="95" t="e">
        <f aca="false">'Lev. Consolid'!H41</f>
        <v>#REF!</v>
      </c>
      <c r="J75" s="95" t="e">
        <f aca="false">'Lev. Consolid'!I41</f>
        <v>#REF!</v>
      </c>
      <c r="K75" s="95" t="e">
        <f aca="false">'Lev. Consolid'!J41</f>
        <v>#REF!</v>
      </c>
      <c r="L75" s="563" t="e">
        <f aca="false">'Lev. Consolid'!K41</f>
        <v>#REF!</v>
      </c>
    </row>
    <row r="76" customFormat="false" ht="12.75" hidden="false" customHeight="false" outlineLevel="0" collapsed="false">
      <c r="A76" s="18" t="str">
        <f aca="false">'Lev. Consolid'!A42</f>
        <v>Equity Investment</v>
      </c>
      <c r="B76" s="564" t="n">
        <f aca="false">'Lev. Consolid'!B42</f>
        <v>6295.47418822013</v>
      </c>
      <c r="C76" s="17"/>
      <c r="D76" s="95"/>
      <c r="E76" s="95"/>
      <c r="F76" s="95"/>
      <c r="H76" s="17" t="n">
        <f aca="false">'Lev. Consolid'!G42</f>
        <v>0</v>
      </c>
      <c r="I76" s="17" t="n">
        <f aca="false">'Lev. Consolid'!H42</f>
        <v>0</v>
      </c>
      <c r="J76" s="17" t="n">
        <f aca="false">'Lev. Consolid'!I42</f>
        <v>0</v>
      </c>
      <c r="K76" s="17" t="n">
        <f aca="false">'Lev. Consolid'!J42</f>
        <v>0</v>
      </c>
      <c r="L76" s="67" t="n">
        <f aca="false">'Lev. Consolid'!K42</f>
        <v>0</v>
      </c>
    </row>
    <row r="77" customFormat="false" ht="12.75" hidden="false" customHeight="false" outlineLevel="0" collapsed="false">
      <c r="A77" s="565" t="str">
        <f aca="false">'Lev. Consolid'!A43</f>
        <v>Price of ENE Shares</v>
      </c>
      <c r="B77" s="469" t="n">
        <f aca="false">'Lev. Consolid'!B43</f>
        <v>28.3</v>
      </c>
      <c r="C77" s="17"/>
      <c r="D77" s="95"/>
      <c r="E77" s="95"/>
      <c r="F77" s="95"/>
      <c r="H77" s="17" t="n">
        <f aca="false">'Lev. Consolid'!G43</f>
        <v>0</v>
      </c>
      <c r="I77" s="17" t="n">
        <f aca="false">'Lev. Consolid'!H43</f>
        <v>0</v>
      </c>
      <c r="J77" s="17" t="n">
        <f aca="false">'Lev. Consolid'!I43</f>
        <v>0</v>
      </c>
      <c r="K77" s="17" t="n">
        <f aca="false">'Lev. Consolid'!J43</f>
        <v>0</v>
      </c>
      <c r="L77" s="67" t="n">
        <f aca="false">'Lev. Consolid'!K43</f>
        <v>0</v>
      </c>
    </row>
    <row r="78" customFormat="false" ht="12.75" hidden="false" customHeight="false" outlineLevel="0" collapsed="false">
      <c r="A78" s="18" t="str">
        <f aca="false">'Lev. Consolid'!A44</f>
        <v>Additional Shares</v>
      </c>
      <c r="B78" s="95" t="n">
        <f aca="false">'Lev. Consolid'!B44</f>
        <v>222454.918311665</v>
      </c>
      <c r="C78" s="17"/>
      <c r="D78" s="95"/>
      <c r="E78" s="95"/>
      <c r="F78" s="95"/>
      <c r="H78" s="17" t="n">
        <f aca="false">'Lev. Consolid'!G44</f>
        <v>0</v>
      </c>
      <c r="I78" s="17" t="n">
        <f aca="false">'Lev. Consolid'!H44</f>
        <v>0</v>
      </c>
      <c r="J78" s="17" t="n">
        <f aca="false">'Lev. Consolid'!I44</f>
        <v>0</v>
      </c>
      <c r="K78" s="17" t="n">
        <f aca="false">'Lev. Consolid'!J44</f>
        <v>0</v>
      </c>
      <c r="L78" s="67" t="n">
        <f aca="false">'Lev. Consolid'!K44</f>
        <v>0</v>
      </c>
    </row>
    <row r="79" customFormat="false" ht="12.75" hidden="false" customHeight="false" outlineLevel="0" collapsed="false">
      <c r="A79" s="18" t="str">
        <f aca="false">'Lev. Consolid'!A45</f>
        <v>PRO FORMA EPS</v>
      </c>
      <c r="B79" s="566" t="n">
        <f aca="false">'Lev. Consolid'!B45</f>
        <v>1102454.91831167</v>
      </c>
      <c r="C79" s="83" t="str">
        <f aca="false">'Lev. Consolid'!C45</f>
        <v>M Shares</v>
      </c>
      <c r="D79" s="95"/>
      <c r="E79" s="95"/>
      <c r="F79" s="95"/>
      <c r="H79" s="567" t="e">
        <f aca="false">'Lev. Consolid'!G45</f>
        <v>#REF!</v>
      </c>
      <c r="I79" s="567" t="e">
        <f aca="false">'Lev. Consolid'!H45</f>
        <v>#REF!</v>
      </c>
      <c r="J79" s="567" t="e">
        <f aca="false">'Lev. Consolid'!I45</f>
        <v>#REF!</v>
      </c>
      <c r="K79" s="567" t="e">
        <f aca="false">'Lev. Consolid'!J45</f>
        <v>#REF!</v>
      </c>
      <c r="L79" s="568" t="e">
        <f aca="false">'Lev. Consolid'!K45</f>
        <v>#REF!</v>
      </c>
    </row>
    <row r="80" customFormat="false" ht="13.5" hidden="false" customHeight="false" outlineLevel="0" collapsed="false">
      <c r="A80" s="18" t="str">
        <f aca="false">'Lev. Consolid'!A46</f>
        <v>  Incremenal EPS</v>
      </c>
      <c r="B80" s="566"/>
      <c r="C80" s="17"/>
      <c r="D80" s="17"/>
      <c r="E80" s="17"/>
      <c r="F80" s="17"/>
      <c r="H80" s="569" t="e">
        <f aca="false">'Lev. Consolid'!G46</f>
        <v>#REF!</v>
      </c>
      <c r="I80" s="569" t="e">
        <f aca="false">'Lev. Consolid'!H46</f>
        <v>#REF!</v>
      </c>
      <c r="J80" s="569" t="e">
        <f aca="false">'Lev. Consolid'!I46</f>
        <v>#REF!</v>
      </c>
      <c r="K80" s="569" t="e">
        <f aca="false">'Lev. Consolid'!J46</f>
        <v>#REF!</v>
      </c>
      <c r="L80" s="570" t="e">
        <f aca="false">'Lev. Consolid'!K46</f>
        <v>#REF!</v>
      </c>
    </row>
    <row r="81" customFormat="false" ht="13.5" hidden="false" customHeight="false" outlineLevel="0" collapsed="false">
      <c r="A81" s="9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23"/>
    </row>
    <row r="82" customFormat="false" ht="13.5" hidden="false" customHeight="false" outlineLevel="0" collapsed="false"/>
    <row r="83" customFormat="false" ht="15" hidden="false" customHeight="false" outlineLevel="0" collapsed="false">
      <c r="K83" s="574" t="s">
        <v>288</v>
      </c>
      <c r="L83" s="575" t="str">
        <f aca="false">(Assumptions!D14-1&amp;" EBITDA")</f>
        <v>2001 EBITDA</v>
      </c>
      <c r="M83" s="576"/>
      <c r="N83" s="577" t="s">
        <v>289</v>
      </c>
      <c r="O83" s="577"/>
      <c r="P83" s="577"/>
    </row>
    <row r="84" customFormat="false" ht="15" hidden="false" customHeight="false" outlineLevel="0" collapsed="false">
      <c r="K84" s="578" t="s">
        <v>290</v>
      </c>
      <c r="L84" s="579" t="s">
        <v>94</v>
      </c>
      <c r="M84" s="580" t="s">
        <v>291</v>
      </c>
      <c r="N84" s="581" t="n">
        <f aca="false">CDRate-0.025</f>
        <v>0.1</v>
      </c>
      <c r="O84" s="582" t="n">
        <f aca="false">Scenarios!C6</f>
        <v>0.125</v>
      </c>
      <c r="P84" s="583" t="n">
        <f aca="false">CDRate+0.025</f>
        <v>0.15</v>
      </c>
    </row>
    <row r="85" customFormat="false" ht="13.5" hidden="false" customHeight="false" outlineLevel="0" collapsed="false">
      <c r="J85" s="584" t="s">
        <v>292</v>
      </c>
      <c r="K85" s="585"/>
      <c r="L85" s="586"/>
      <c r="M85" s="587"/>
      <c r="N85" s="585"/>
      <c r="O85" s="586"/>
      <c r="P85" s="588"/>
    </row>
    <row r="86" customFormat="false" ht="13.5" hidden="false" customHeight="false" outlineLevel="0" collapsed="false">
      <c r="J86" s="160" t="e">
        <f aca="false">IF(ABS(K86-O86)&lt;0.05,0,1)</f>
        <v>#REF!</v>
      </c>
      <c r="K86" s="589" t="n">
        <v>12590.9483764403</v>
      </c>
      <c r="L86" s="590" t="n">
        <f aca="false">K86/G23</f>
        <v>0.0457172727704623</v>
      </c>
      <c r="M86" s="591" t="str">
        <f aca="false">Assumptions!D8</f>
        <v>ETS</v>
      </c>
      <c r="N86" s="592" t="e">
        <f aca="false">NPV(N84,$H50:$S50)</f>
        <v>#REF!</v>
      </c>
      <c r="O86" s="593" t="e">
        <f aca="false">NPV(O84,$H50:$S50)</f>
        <v>#REF!</v>
      </c>
      <c r="P86" s="594" t="e">
        <f aca="false">NPV(P84,$H50:$S50)</f>
        <v>#REF!</v>
      </c>
    </row>
    <row r="87" customFormat="false" ht="12.75" hidden="false" customHeight="false" outlineLevel="0" collapsed="false">
      <c r="J87" s="595"/>
      <c r="K87" s="596"/>
      <c r="L87" s="597"/>
      <c r="M87" s="449"/>
      <c r="N87" s="598" t="s">
        <v>184</v>
      </c>
      <c r="O87" s="599" t="n">
        <v>7934</v>
      </c>
      <c r="P87" s="600"/>
    </row>
    <row r="88" customFormat="false" ht="12.75" hidden="false" customHeight="false" outlineLevel="0" collapsed="false">
      <c r="G88" s="95"/>
      <c r="H88" s="95"/>
      <c r="I88" s="95"/>
      <c r="J88" s="95"/>
      <c r="K88" s="278"/>
      <c r="L88" s="601"/>
      <c r="M88" s="95"/>
      <c r="N88" s="463" t="s">
        <v>293</v>
      </c>
      <c r="O88" s="602" t="e">
        <f aca="false">CNPVPrice-O87</f>
        <v>#REF!</v>
      </c>
      <c r="P88" s="95"/>
      <c r="Q88" s="95"/>
      <c r="R88" s="95"/>
    </row>
    <row r="89" customFormat="false" ht="12.75" hidden="false" customHeight="false" outlineLevel="0" collapsed="false">
      <c r="K89" s="603"/>
      <c r="L89" s="604"/>
      <c r="M89" s="17"/>
    </row>
    <row r="90" customFormat="false" ht="12.75" hidden="false" customHeight="false" outlineLevel="0" collapsed="false">
      <c r="K90" s="443"/>
      <c r="L90" s="605"/>
      <c r="M90" s="17"/>
    </row>
    <row r="92" customFormat="false" ht="12.75" hidden="false" customHeight="false" outlineLevel="0" collapsed="false">
      <c r="K92" s="17"/>
      <c r="L92" s="17"/>
      <c r="M92" s="95"/>
    </row>
    <row r="93" customFormat="false" ht="12.75" hidden="false" customHeight="false" outlineLevel="0" collapsed="false">
      <c r="K93" s="17"/>
      <c r="L93" s="17"/>
      <c r="M93" s="95"/>
    </row>
    <row r="94" customFormat="false" ht="12.75" hidden="false" customHeight="false" outlineLevel="0" collapsed="false">
      <c r="K94" s="17"/>
      <c r="L94" s="17"/>
      <c r="M94" s="95"/>
    </row>
  </sheetData>
  <mergeCells count="2">
    <mergeCell ref="A2:C2"/>
    <mergeCell ref="N83:P83"/>
  </mergeCells>
  <conditionalFormatting sqref="D22">
    <cfRule type="cellIs" priority="2" operator="notBetween" aboveAverage="0" equalAverage="0" bottom="0" percent="0" rank="0" text="" dxfId="0">
      <formula>0.25</formula>
      <formula>-0.25</formula>
    </cfRule>
  </conditionalFormatting>
  <printOptions headings="false" gridLines="false" gridLinesSet="true" horizontalCentered="false" verticalCentered="false"/>
  <pageMargins left="0.5" right="0.170138888888889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
&amp;A
&amp;D, &amp;T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2000-03-08T23:13:06Z</dcterms:created>
  <dc:creator>MLR</dc:creator>
  <dc:description/>
  <dc:language>en-US</dc:language>
  <cp:lastModifiedBy>michael ratner</cp:lastModifiedBy>
  <cp:lastPrinted>2001-11-14T14:34:53Z</cp:lastPrinted>
  <dcterms:modified xsi:type="dcterms:W3CDTF">2001-12-19T20:03:48Z</dcterms:modified>
  <cp:revision>0</cp:revision>
  <dc:subject/>
  <dc:title/>
</cp:coreProperties>
</file>