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0.xml.rels" ContentType="application/vnd.openxmlformats-package.relationships+xml"/>
  <Override PartName="/xl/worksheets/_rels/sheet1.xml.rels" ContentType="application/vnd.openxmlformats-package.relationships+xml"/>
  <Override PartName="/xl/worksheets/sheet9.xml" ContentType="application/vnd.openxmlformats-officedocument.spreadsheetml.worksheet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8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7.xml" ContentType="application/vnd.openxmlformats-officedocument.spreadsheetml.worksheet+xml"/>
  <Override PartName="/xl/worksheets/sheet12.xml" ContentType="application/vnd.openxmlformats-officedocument.spreadsheetml.worksheet+xml"/>
  <Override PartName="/xl/worksheets/sheet1.xml" ContentType="application/vnd.openxmlformats-officedocument.spreadsheetml.worksheet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comments10.xml" ContentType="application/vnd.openxmlformats-officedocument.spreadsheetml.comment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1" activeTab="1"/>
  </bookViews>
  <sheets>
    <sheet name="Preset Scenarios" sheetId="1" state="hidden" r:id="rId3"/>
    <sheet name="Tracking Sheet" sheetId="2" state="visible" r:id="rId4"/>
    <sheet name="Scenarios" sheetId="3" state="visible" r:id="rId5"/>
    <sheet name="Assumptions" sheetId="4" state="visible" r:id="rId6"/>
    <sheet name="Power Price Assumption" sheetId="5" state="visible" r:id="rId7"/>
    <sheet name="IS" sheetId="6" state="visible" r:id="rId8"/>
    <sheet name="Return Analysis" sheetId="7" state="visible" r:id="rId9"/>
    <sheet name="CF" sheetId="8" state="visible" r:id="rId10"/>
    <sheet name="Debt" sheetId="9" state="visible" r:id="rId11"/>
    <sheet name="IDC" sheetId="10" state="visible" r:id="rId12"/>
    <sheet name="Depreciation" sheetId="11" state="visible" r:id="rId13"/>
    <sheet name="Tax" sheetId="12" state="visible" r:id="rId14"/>
    <sheet name="Observations" sheetId="13" state="visible" r:id="rId15"/>
  </sheets>
  <externalReferences>
    <externalReference r:id="rId16"/>
    <externalReference r:id="rId17"/>
    <externalReference r:id="rId18"/>
  </externalReferences>
  <definedNames>
    <definedName function="false" hidden="false" localSheetId="3" name="_xlnm.Print_Area" vbProcedure="false">Assumptions!$A$3:$R$72</definedName>
    <definedName function="false" hidden="false" localSheetId="7" name="_xlnm.Print_Area" vbProcedure="false">CF!$A$2:$X$56</definedName>
    <definedName function="false" hidden="false" localSheetId="7" name="_xlnm.Print_Titles" vbProcedure="false">CF!$A:$A</definedName>
    <definedName function="false" hidden="false" localSheetId="8" name="_xlnm.Print_Area" vbProcedure="false">Debt!$A$18:$W$114</definedName>
    <definedName function="false" hidden="false" localSheetId="8" name="_xlnm.Print_Titles" vbProcedure="false">Debt!$A:$A</definedName>
    <definedName function="false" hidden="false" localSheetId="10" name="_xlnm.Print_Area" vbProcedure="false">Depreciation!$A$2:$Y$46</definedName>
    <definedName function="false" hidden="false" localSheetId="10" name="_xlnm.Print_Titles" vbProcedure="false">Depreciation!$A:$A</definedName>
    <definedName function="false" hidden="false" localSheetId="5" name="_xlnm.Print_Area" vbProcedure="false">IS!$A$2:$Y$85</definedName>
    <definedName function="false" hidden="false" localSheetId="5" name="_xlnm.Print_Titles" vbProcedure="false">IS!$A:$A</definedName>
    <definedName function="false" hidden="false" localSheetId="0" name="_xlnm.Print_Area" vbProcedure="false">'Preset Scenarios'!$A$2:$M$30</definedName>
    <definedName function="false" hidden="false" localSheetId="6" name="_xlnm.Print_Area" vbProcedure="false">'Return Analysis'!$A$1:$AB$45</definedName>
    <definedName function="false" hidden="false" localSheetId="2" name="_xlnm.Print_Area" vbProcedure="false">Scenarios!$A$1:$J$73</definedName>
    <definedName function="false" hidden="false" localSheetId="11" name="_xlnm.Print_Area" vbProcedure="false">Tax!$A$2:$W$46</definedName>
    <definedName function="false" hidden="false" localSheetId="11" name="_xlnm.Print_Titles" vbProcedure="false">Tax!$A:$A</definedName>
    <definedName function="false" hidden="false" name="AnnualHours" vbProcedure="false">Assumptions!$H$15</definedName>
    <definedName function="false" hidden="false" name="Begin_Op" vbProcedure="false">[3]Sum!$N$7</definedName>
    <definedName function="false" hidden="false" name="Deg_Rate" vbProcedure="false">Assumptions!$G$12</definedName>
    <definedName function="false" hidden="false" name="idc" vbProcedure="false">IDC!$A$1:$I$57</definedName>
    <definedName function="false" hidden="false" name="ISO_MW" vbProcedure="false">Assumptions!$J$10</definedName>
    <definedName function="false" hidden="false" name="Maint_Accrual" vbProcedure="false">#REF!</definedName>
    <definedName function="false" hidden="false" name="Main_Table" vbProcedure="false">'[1]Maintenance Reserves'!$D$22:$I$45</definedName>
    <definedName function="false" hidden="false" name="NetMW" vbProcedure="false">Assumptions!$J$11</definedName>
    <definedName function="false" hidden="false" name="PERIOD1" vbProcedure="false">'[2]Project Assumptions'!$F$38</definedName>
    <definedName function="false" hidden="false" name="PERIOD2" vbProcedure="false">'[2]Project Assumptions'!$G$38</definedName>
    <definedName function="false" hidden="false" name="principal" vbProcedure="false">'[2]Debt Amortization'!$D$98:$AC$98</definedName>
    <definedName function="false" hidden="false" name="StartMWh" vbProcedure="false">'[2]Project Assumptions'!$N$11</definedName>
    <definedName function="false" hidden="false" name="Variable" vbProcedure="false">#REF!</definedName>
    <definedName function="false" hidden="false" name="WaterTreatmentVar" vbProcedure="false">#REF!</definedName>
    <definedName function="false" hidden="false" name="wrn_test1_" vbProcedure="false">{"Income Statement",#N/A,FALSE,"CFMODEL";"Balance Sheet",#N/A,FALSE,"CFMODEL"}</definedName>
    <definedName function="false" hidden="false" name="wrn_test2_" vbProcedure="false">{"SourcesUses",#N/A,TRUE,"CFMODEL";"TransOverview",#N/A,TRUE,"CFMODEL"}</definedName>
    <definedName function="false" hidden="false" name="wrn_test3_" vbProcedure="false">{"SourcesUses",#N/A,TRUE,#N/A;"TransOverview",#N/A,TRUE,"CFMODEL"}</definedName>
    <definedName function="false" hidden="false" name="wrn_test4_" vbProcedure="false">{"SourcesUses",#N/A,TRUE,"FundsFlow";"TransOverview",#N/A,TRUE,"FundsFlow"}</definedName>
    <definedName function="false" hidden="false" localSheetId="9" name="Z_87D5054C_0AAC_11D2_824B_00A0D1027254__wvu_PrintArea" vbProcedure="false">IDC!$A$2:$G$63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0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7" authorId="0">
      <text>
        <r>
          <rPr>
            <sz val="8"/>
            <color rgb="FF000000"/>
            <rFont val="Tahoma"/>
            <family val="2"/>
          </rPr>
          <t xml:space="preserve">This cannot be linked to the assumptions page, it makes the model circular.  Must be INPUT HERE.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16</xdr:colOff>
                <xdr:row>5</xdr:row>
                <xdr:rowOff>5</xdr:rowOff>
              </xdr:from>
              <xdr:to>
                <xdr:col>2</xdr:col>
                <xdr:colOff>73</xdr:colOff>
                <xdr:row>10</xdr:row>
                <xdr:rowOff>4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<sst xmlns="http://schemas.openxmlformats.org/spreadsheetml/2006/main" count="606" uniqueCount="443">
  <si>
    <t xml:space="preserve">PRESET SCENARIOS</t>
  </si>
  <si>
    <t xml:space="preserve">Annual Escalator </t>
  </si>
  <si>
    <t xml:space="preserve">(include costs, revenues, and capacity prices)</t>
  </si>
  <si>
    <t xml:space="preserve">Operating Expenses</t>
  </si>
  <si>
    <t xml:space="preserve">Dispatch</t>
  </si>
  <si>
    <t xml:space="preserve">Kaiser Capacity Price Estimates</t>
  </si>
  <si>
    <t xml:space="preserve">Sensitivity Selections:</t>
  </si>
  <si>
    <t xml:space="preserve">Choices</t>
  </si>
  <si>
    <t xml:space="preserve">Annual Escalator (%)</t>
  </si>
  <si>
    <t xml:space="preserve">Increase in Op Exp (%)</t>
  </si>
  <si>
    <t xml:space="preserve">Kaiser Price Options</t>
  </si>
  <si>
    <t xml:space="preserve">Base</t>
  </si>
  <si>
    <t xml:space="preserve">Low</t>
  </si>
  <si>
    <t xml:space="preserve">Customize</t>
  </si>
  <si>
    <t xml:space="preserve">Chosen</t>
  </si>
  <si>
    <t xml:space="preserve">EQUITY PARTNER'S</t>
  </si>
  <si>
    <t xml:space="preserve">DSCR</t>
  </si>
  <si>
    <t xml:space="preserve">IRR</t>
  </si>
  <si>
    <t xml:space="preserve">MIN</t>
  </si>
  <si>
    <t xml:space="preserve">AVG</t>
  </si>
  <si>
    <t xml:space="preserve">Current (Annual)</t>
  </si>
  <si>
    <t xml:space="preserve">PLEASE TRACK</t>
  </si>
  <si>
    <t xml:space="preserve">CHANGES</t>
  </si>
  <si>
    <t xml:space="preserve">DATE</t>
  </si>
  <si>
    <t xml:space="preserve">TRACKING SHEET</t>
  </si>
  <si>
    <t xml:space="preserve">EQUITY</t>
  </si>
  <si>
    <t xml:space="preserve">IRR WITH NO</t>
  </si>
  <si>
    <t xml:space="preserve">IRR WITH </t>
  </si>
  <si>
    <t xml:space="preserve">FIXED PRICE PERIOD</t>
  </si>
  <si>
    <t xml:space="preserve">RESIDUAL VALUE</t>
  </si>
  <si>
    <t xml:space="preserve">AVGE</t>
  </si>
  <si>
    <t xml:space="preserve">Current </t>
  </si>
  <si>
    <t xml:space="preserve">Changes</t>
  </si>
  <si>
    <t xml:space="preserve">AssumptionsI17 equation changed to be current year and not last fiscal</t>
  </si>
  <si>
    <t xml:space="preserve">Timing of revenues on IS re-configured</t>
  </si>
  <si>
    <t xml:space="preserve">ACCRUED MAJOR MAINTENANCE</t>
  </si>
  <si>
    <t xml:space="preserve">Lower Construction Cost</t>
  </si>
  <si>
    <t xml:space="preserve">Higher Capacity Charge</t>
  </si>
  <si>
    <t xml:space="preserve">Base Case</t>
  </si>
  <si>
    <t xml:space="preserve">Total Project Cost (000)</t>
  </si>
  <si>
    <t xml:space="preserve">$/kw</t>
  </si>
  <si>
    <t xml:space="preserve">Capacity Charge ($/kw-month)</t>
  </si>
  <si>
    <t xml:space="preserve">Energy Charge (MWh)</t>
  </si>
  <si>
    <t xml:space="preserve">Optimal Capital Structure</t>
  </si>
  <si>
    <t xml:space="preserve">(Necessary to maintain 1.30X coverage)</t>
  </si>
  <si>
    <t xml:space="preserve">% Equity</t>
  </si>
  <si>
    <t xml:space="preserve">% Debt</t>
  </si>
  <si>
    <t xml:space="preserve">Equity IRR</t>
  </si>
  <si>
    <t xml:space="preserve">5X EBITDA Multiple Terminal Value</t>
  </si>
  <si>
    <t xml:space="preserve">20% Original Cost Terminal Value</t>
  </si>
  <si>
    <t xml:space="preserve">Zero Terminal Value</t>
  </si>
  <si>
    <t xml:space="preserve">Residual Equity Exposure (000)</t>
  </si>
  <si>
    <t xml:space="preserve">Residual Exposure as a % of Original Cost</t>
  </si>
  <si>
    <t xml:space="preserve">NO MAJOR MAINTENANCE ACCRUAL</t>
  </si>
  <si>
    <t xml:space="preserve">Unhide Sub Debt, 1999 Columns</t>
  </si>
  <si>
    <t xml:space="preserve">PROJECT NAME: SANTEE COOPER</t>
  </si>
  <si>
    <t xml:space="preserve">ASSUMPTIONS &amp; SUMMARY OUTPUT</t>
  </si>
  <si>
    <t xml:space="preserve">SOURCES &amp; USES:</t>
  </si>
  <si>
    <t xml:space="preserve">PROJECT DESCRIPTION:</t>
  </si>
  <si>
    <t xml:space="preserve">TECHNICAL ASSUMPTIONS:</t>
  </si>
  <si>
    <t xml:space="preserve">#Hours</t>
  </si>
  <si>
    <t xml:space="preserve">$000 CapEx</t>
  </si>
  <si>
    <t xml:space="preserve">Sources of Funds</t>
  </si>
  <si>
    <t xml:space="preserve">%</t>
  </si>
  <si>
    <t xml:space="preserve">$000</t>
  </si>
  <si>
    <t xml:space="preserve">$000/kW</t>
  </si>
  <si>
    <t xml:space="preserve">Type of Turbine</t>
  </si>
  <si>
    <t xml:space="preserve">LM6000</t>
  </si>
  <si>
    <t xml:space="preserve">Site Condition (MW)</t>
  </si>
  <si>
    <t xml:space="preserve">Maintenance Needed at # hours</t>
  </si>
  <si>
    <t xml:space="preserve">Total Equity </t>
  </si>
  <si>
    <t xml:space="preserve">Number of Turbines</t>
  </si>
  <si>
    <t xml:space="preserve">Evaporative Cooler (MW)</t>
  </si>
  <si>
    <t xml:space="preserve">Debt Issuance</t>
  </si>
  <si>
    <t xml:space="preserve">Turbine Rating</t>
  </si>
  <si>
    <t xml:space="preserve">Net Output before Degradation (MW)</t>
  </si>
  <si>
    <t xml:space="preserve">Heat Rate (HHV)</t>
  </si>
  <si>
    <t xml:space="preserve">Initial Spare Parts ($000)</t>
  </si>
  <si>
    <t xml:space="preserve">Total Sources</t>
  </si>
  <si>
    <t xml:space="preserve">Annual Operating Hours</t>
  </si>
  <si>
    <t xml:space="preserve">Number of Starts per year, $ per start</t>
  </si>
  <si>
    <t xml:space="preserve">Cost per Start ($000)</t>
  </si>
  <si>
    <t xml:space="preserve">First Fiscal Year</t>
  </si>
  <si>
    <t xml:space="preserve">$/KWh Sensitivity Toggle (If active insert 1)</t>
  </si>
  <si>
    <t xml:space="preserve">Uses of Funds</t>
  </si>
  <si>
    <t xml:space="preserve">Operating Months in the 1st yr.*</t>
  </si>
  <si>
    <t xml:space="preserve"># OF HOURS IN 1 yr</t>
  </si>
  <si>
    <t xml:space="preserve">Start of Commercial Operation</t>
  </si>
  <si>
    <t xml:space="preserve">EPC:</t>
  </si>
  <si>
    <t xml:space="preserve">End of Commercial Operation</t>
  </si>
  <si>
    <t xml:space="preserve">OPERATING COSTS ASSUMPTIONS:</t>
  </si>
  <si>
    <t xml:space="preserve">  Turbine</t>
  </si>
  <si>
    <t xml:space="preserve">Project Life (Years)</t>
  </si>
  <si>
    <t xml:space="preserve">$/MW</t>
  </si>
  <si>
    <t xml:space="preserve">  BOP</t>
  </si>
  <si>
    <t xml:space="preserve">Residual Value (Terminal Value)</t>
  </si>
  <si>
    <t xml:space="preserve">CPI Escalator</t>
  </si>
  <si>
    <t xml:space="preserve">  Pipeline</t>
  </si>
  <si>
    <t xml:space="preserve">EBITDA Multiple</t>
  </si>
  <si>
    <t xml:space="preserve">  Power Interconnection</t>
  </si>
  <si>
    <t xml:space="preserve">Escalated Costs:</t>
  </si>
  <si>
    <t xml:space="preserve">  SCR</t>
  </si>
  <si>
    <t xml:space="preserve">SUMMARY OUTPUT:</t>
  </si>
  <si>
    <t xml:space="preserve">  Dual Fuel </t>
  </si>
  <si>
    <t xml:space="preserve">Fixed O&amp;M ($/kW month)</t>
  </si>
  <si>
    <t xml:space="preserve">  Black Start</t>
  </si>
  <si>
    <t xml:space="preserve">Debt Service Coverage Ratio</t>
  </si>
  <si>
    <t xml:space="preserve">Avg.</t>
  </si>
  <si>
    <t xml:space="preserve">Min</t>
  </si>
  <si>
    <t xml:space="preserve">Variable O&amp;M ($/MWh)</t>
  </si>
  <si>
    <t xml:space="preserve">  Gas Compression to 700 PSI</t>
  </si>
  <si>
    <t xml:space="preserve">Fixed Price Period</t>
  </si>
  <si>
    <t xml:space="preserve">  Demineralized Water Facility</t>
  </si>
  <si>
    <t xml:space="preserve">Market Price Period</t>
  </si>
  <si>
    <t xml:space="preserve">  Chillers</t>
  </si>
  <si>
    <t xml:space="preserve">Cost Summary</t>
  </si>
  <si>
    <t xml:space="preserve">$000/ MW</t>
  </si>
  <si>
    <t xml:space="preserve">Major Maintenance &amp; Ongoing Capex ($/MWh)</t>
  </si>
  <si>
    <t xml:space="preserve">5 turbines</t>
  </si>
  <si>
    <t xml:space="preserve">56.67 per turbine/fired hour</t>
  </si>
  <si>
    <t xml:space="preserve">  Spare Parts</t>
  </si>
  <si>
    <t xml:space="preserve">EPC</t>
  </si>
  <si>
    <t xml:space="preserve">Insurance</t>
  </si>
  <si>
    <t xml:space="preserve">Sub Total</t>
  </si>
  <si>
    <t xml:space="preserve">Soft Cost &amp; Other Misc. Project Cost</t>
  </si>
  <si>
    <t xml:space="preserve">SG&amp;A ($/MW)</t>
  </si>
  <si>
    <t xml:space="preserve">MW</t>
  </si>
  <si>
    <t xml:space="preserve">Utilities, Start Power</t>
  </si>
  <si>
    <t xml:space="preserve">$</t>
  </si>
  <si>
    <t xml:space="preserve">Financing Costs:</t>
  </si>
  <si>
    <t xml:space="preserve">Total</t>
  </si>
  <si>
    <t xml:space="preserve">Marketing Fee</t>
  </si>
  <si>
    <t xml:space="preserve">  Legal Fees</t>
  </si>
  <si>
    <t xml:space="preserve">Other Expenses</t>
  </si>
  <si>
    <t xml:space="preserve">  Financing Fee</t>
  </si>
  <si>
    <t xml:space="preserve">O&amp;M Fees</t>
  </si>
  <si>
    <t xml:space="preserve">  Debt Reserves</t>
  </si>
  <si>
    <t xml:space="preserve">Non-Escalated Costs:</t>
  </si>
  <si>
    <t xml:space="preserve">Fuel</t>
  </si>
  <si>
    <t xml:space="preserve">Capitalized Interests</t>
  </si>
  <si>
    <t xml:space="preserve">Key Stats</t>
  </si>
  <si>
    <t xml:space="preserve">Property Taxes &amp; Other </t>
  </si>
  <si>
    <t xml:space="preserve">Land</t>
  </si>
  <si>
    <t xml:space="preserve">EBITDA (000 $)</t>
  </si>
  <si>
    <t xml:space="preserve">Debt Service Reserve Fee</t>
  </si>
  <si>
    <t xml:space="preserve">Mobilization fees</t>
  </si>
  <si>
    <t xml:space="preserve">Net Income (000 $)</t>
  </si>
  <si>
    <t xml:space="preserve">Pre-Tax Cashflow (000 $)</t>
  </si>
  <si>
    <t xml:space="preserve">DEPRECIATION ASSUMPTIONS:</t>
  </si>
  <si>
    <t xml:space="preserve">Total Uses</t>
  </si>
  <si>
    <t xml:space="preserve">After-Tax Cashflow (000 $)</t>
  </si>
  <si>
    <t xml:space="preserve">Year</t>
  </si>
  <si>
    <t xml:space="preserve">Method</t>
  </si>
  <si>
    <t xml:space="preserve">Residual (%)</t>
  </si>
  <si>
    <t xml:space="preserve">PPA ASSUMPTIONS:</t>
  </si>
  <si>
    <t xml:space="preserve">Federal &amp; State Tax Depreciation</t>
  </si>
  <si>
    <t xml:space="preserve">FINANCING ASSUMPTIONS:</t>
  </si>
  <si>
    <t xml:space="preserve">EPC Costs </t>
  </si>
  <si>
    <t xml:space="preserve">MACRS</t>
  </si>
  <si>
    <t xml:space="preserve">DEBT</t>
  </si>
  <si>
    <t xml:space="preserve">MEAG PPA Start Date</t>
  </si>
  <si>
    <t xml:space="preserve">Transaction Costs </t>
  </si>
  <si>
    <t xml:space="preserve">SL</t>
  </si>
  <si>
    <t xml:space="preserve">Debt Issued </t>
  </si>
  <si>
    <t xml:space="preserve">MEAG PPA Temination</t>
  </si>
  <si>
    <t xml:space="preserve">Treasury Rate as of:</t>
  </si>
  <si>
    <t xml:space="preserve">Book Depreciation</t>
  </si>
  <si>
    <t xml:space="preserve">MEAG Fixed Price Period</t>
  </si>
  <si>
    <t xml:space="preserve">Summary</t>
  </si>
  <si>
    <t xml:space="preserve">Tranche 1</t>
  </si>
  <si>
    <t xml:space="preserve">Tranche 2</t>
  </si>
  <si>
    <t xml:space="preserve">Tranche 3</t>
  </si>
  <si>
    <t xml:space="preserve">No. of Years</t>
  </si>
  <si>
    <t xml:space="preserve">Amount ('000 $)</t>
  </si>
  <si>
    <t xml:space="preserve">Demand Charge ($/kW-mo)</t>
  </si>
  <si>
    <t xml:space="preserve">Term (yrs)</t>
  </si>
  <si>
    <t xml:space="preserve">Energy Charge ($/MWh)</t>
  </si>
  <si>
    <t xml:space="preserve">TAX ASSUMPTIONS:</t>
  </si>
  <si>
    <t xml:space="preserve">Final Maturity</t>
  </si>
  <si>
    <t xml:space="preserve">Block Charge ($/start/turbine)</t>
  </si>
  <si>
    <t xml:space="preserve">Average Life (yrs)</t>
  </si>
  <si>
    <t xml:space="preserve">Degradation Factor (%)</t>
  </si>
  <si>
    <t xml:space="preserve">Federal Income Tax Rate</t>
  </si>
  <si>
    <t xml:space="preserve">Degraded Capacity (MW)</t>
  </si>
  <si>
    <t xml:space="preserve">State Income Tax Rate</t>
  </si>
  <si>
    <t xml:space="preserve">Amortization</t>
  </si>
  <si>
    <t xml:space="preserve">Construction</t>
  </si>
  <si>
    <t xml:space="preserve">Net Generation (MWh)</t>
  </si>
  <si>
    <t xml:space="preserve">Franchise Tax Rate</t>
  </si>
  <si>
    <t xml:space="preserve">Custom=1, Level=2</t>
  </si>
  <si>
    <t xml:space="preserve">Length of Construction</t>
  </si>
  <si>
    <t xml:space="preserve">MONTHS</t>
  </si>
  <si>
    <t xml:space="preserve">Gross Receipt Tax Rate</t>
  </si>
  <si>
    <t xml:space="preserve">Construction Start Date</t>
  </si>
  <si>
    <t xml:space="preserve">SANTEE COOPER PPA Start Date</t>
  </si>
  <si>
    <t xml:space="preserve">Annual Property Tax Rate</t>
  </si>
  <si>
    <t xml:space="preserve">Custom Amortization:</t>
  </si>
  <si>
    <t xml:space="preserve">SANTEE COOPER PPA Termination</t>
  </si>
  <si>
    <t xml:space="preserve">Assessd Value Based on SL Depreciation - yrs</t>
  </si>
  <si>
    <t xml:space="preserve">Number of periods assuming semi annual payments</t>
  </si>
  <si>
    <t xml:space="preserve">Salvage Value</t>
  </si>
  <si>
    <t xml:space="preserve">SANTEE COOPER Fixed Price Period</t>
  </si>
  <si>
    <t xml:space="preserve">Assessd Value Multiplier</t>
  </si>
  <si>
    <t xml:space="preserve">Level Amortization:</t>
  </si>
  <si>
    <t xml:space="preserve">Milage Rate for School Tax</t>
  </si>
  <si>
    <t xml:space="preserve">Inputs reside on debt page</t>
  </si>
  <si>
    <t xml:space="preserve">Years of School Tax Abatement</t>
  </si>
  <si>
    <t xml:space="preserve">Milage rate for County Tax</t>
  </si>
  <si>
    <t xml:space="preserve">Treasury Rate (%)</t>
  </si>
  <si>
    <t xml:space="preserve">Years of County Tax Abatement</t>
  </si>
  <si>
    <t xml:space="preserve">Spread (%)</t>
  </si>
  <si>
    <t xml:space="preserve">Milage rate for City Tax</t>
  </si>
  <si>
    <t xml:space="preserve">All In Coupon Rate (%)</t>
  </si>
  <si>
    <t xml:space="preserve">Years of City Tax Abatement</t>
  </si>
  <si>
    <t xml:space="preserve">Maximum DSR Amount (000 $)</t>
  </si>
  <si>
    <t xml:space="preserve">(months/year)</t>
  </si>
  <si>
    <t xml:space="preserve">Debt Service Reserve LOC Fee</t>
  </si>
  <si>
    <t xml:space="preserve">MARKET PERIOD Start Date</t>
  </si>
  <si>
    <t xml:space="preserve">Interest Income Rate</t>
  </si>
  <si>
    <t xml:space="preserve">MARKET PERIOD Termination</t>
  </si>
  <si>
    <t xml:space="preserve">Equity Closed</t>
  </si>
  <si>
    <t xml:space="preserve">Equity Partner's Share</t>
  </si>
  <si>
    <t xml:space="preserve">Equity Partner's Share of Distributable Cash</t>
  </si>
  <si>
    <t xml:space="preserve">Enron's Share</t>
  </si>
  <si>
    <t xml:space="preserve">Enron's Share of Distributable Cash</t>
  </si>
  <si>
    <t xml:space="preserve">Market Period Energy Margin ($/MWh)</t>
  </si>
  <si>
    <t xml:space="preserve">Capacity Factor (%)</t>
  </si>
  <si>
    <t xml:space="preserve">CAPACITY PRICE ASSUMPTIONS</t>
  </si>
  <si>
    <t xml:space="preserve">(To be linked to dispatch Model)</t>
  </si>
  <si>
    <t xml:space="preserve">Consultant Capacity Price Escalator</t>
  </si>
  <si>
    <t xml:space="preserve">Consultant Real $</t>
  </si>
  <si>
    <t xml:space="preserve">Base ($/kw-year)</t>
  </si>
  <si>
    <t xml:space="preserve">Low ($/kw-year)</t>
  </si>
  <si>
    <t xml:space="preserve">Consultant Nominal $</t>
  </si>
  <si>
    <t xml:space="preserve">Base ($/kw-year )</t>
  </si>
  <si>
    <t xml:space="preserve">Market Price Scenario</t>
  </si>
  <si>
    <t xml:space="preserve">Base ($/kW-month)</t>
  </si>
  <si>
    <t xml:space="preserve">Low ($/kW-month)</t>
  </si>
  <si>
    <t xml:space="preserve">Power Desk</t>
  </si>
  <si>
    <t xml:space="preserve">Custom</t>
  </si>
  <si>
    <t xml:space="preserve">FUEL PRICE ASSUMPTIONS</t>
  </si>
  <si>
    <t xml:space="preserve">Gas Price MMBtu</t>
  </si>
  <si>
    <t xml:space="preserve">Base ($/MMBtu)</t>
  </si>
  <si>
    <t xml:space="preserve">Low ($/MMBtu)</t>
  </si>
  <si>
    <t xml:space="preserve">Basis Adj.</t>
  </si>
  <si>
    <t xml:space="preserve">INCOME STATEMENT</t>
  </si>
  <si>
    <t xml:space="preserve">ACTUAL TIME OF PROJECT</t>
  </si>
  <si>
    <t xml:space="preserve">('000 $)</t>
  </si>
  <si>
    <t xml:space="preserve">PPA Time</t>
  </si>
  <si>
    <t xml:space="preserve">MONTHS OF TOTAL OPERATION</t>
  </si>
  <si>
    <t xml:space="preserve">     % OF THE YEAR IN TOTAL OPERATION</t>
  </si>
  <si>
    <t xml:space="preserve">TOTAL RUN HOURS FOR THE YEAR</t>
  </si>
  <si>
    <t xml:space="preserve">CUMULATIVE HOURS RUN FOR PROJECT</t>
  </si>
  <si>
    <t xml:space="preserve"># MONTHS OF YEAR UNDER MEAG PPA</t>
  </si>
  <si>
    <t xml:space="preserve">     % OF THE YEAR IN MEAG OPERATION</t>
  </si>
  <si>
    <t xml:space="preserve">     ACTUAL YEARS OF MEAG PPA</t>
  </si>
  <si>
    <t xml:space="preserve"># MONTHS OF YEAR UNDER SANTEE COOPER PPA</t>
  </si>
  <si>
    <t xml:space="preserve">     % OF THE YEAR IN SANTEE COOPER OPERATION</t>
  </si>
  <si>
    <t xml:space="preserve"># MONTHS OF YEAR UNDER MARKET PERIOD</t>
  </si>
  <si>
    <t xml:space="preserve">     % OF THE YEAR IN MARKET PERIOD OPERATION</t>
  </si>
  <si>
    <t xml:space="preserve">CAPACITY PAYMENT TERMS</t>
  </si>
  <si>
    <t xml:space="preserve">Revenue</t>
  </si>
  <si>
    <t xml:space="preserve">Capacity Revenue</t>
  </si>
  <si>
    <t xml:space="preserve">Energy Revenue</t>
  </si>
  <si>
    <t xml:space="preserve">Variable Energy Revenue</t>
  </si>
  <si>
    <t xml:space="preserve">Block Payment</t>
  </si>
  <si>
    <t xml:space="preserve">Market Period:</t>
  </si>
  <si>
    <t xml:space="preserve">Energy Margin</t>
  </si>
  <si>
    <t xml:space="preserve">Ancillary Services</t>
  </si>
  <si>
    <t xml:space="preserve">Fees</t>
  </si>
  <si>
    <t xml:space="preserve">Fixed O&amp;M Payment</t>
  </si>
  <si>
    <t xml:space="preserve">Fuel Expense Pass Through Plug</t>
  </si>
  <si>
    <t xml:space="preserve">Total Revenue</t>
  </si>
  <si>
    <t xml:space="preserve">Expense</t>
  </si>
  <si>
    <t xml:space="preserve">Fuel </t>
  </si>
  <si>
    <t xml:space="preserve">Fixed O&amp;M</t>
  </si>
  <si>
    <t xml:space="preserve">Variable O&amp;M </t>
  </si>
  <si>
    <t xml:space="preserve">Major Maintenance &amp; Ongoing Capex</t>
  </si>
  <si>
    <t xml:space="preserve">SG&amp;A </t>
  </si>
  <si>
    <t xml:space="preserve">Utility Start Power</t>
  </si>
  <si>
    <t xml:space="preserve">Property, Other Tax </t>
  </si>
  <si>
    <t xml:space="preserve">Maintenance Capital Expenditures</t>
  </si>
  <si>
    <t xml:space="preserve">Other O&amp;M Fees </t>
  </si>
  <si>
    <t xml:space="preserve">Total Expense</t>
  </si>
  <si>
    <t xml:space="preserve">EBITDA</t>
  </si>
  <si>
    <t xml:space="preserve">Depreciation &amp; Amortization</t>
  </si>
  <si>
    <t xml:space="preserve">EBIT</t>
  </si>
  <si>
    <t xml:space="preserve">Interest Expense </t>
  </si>
  <si>
    <t xml:space="preserve">EBT</t>
  </si>
  <si>
    <t xml:space="preserve">Book State Tax Benefit / (Expense)</t>
  </si>
  <si>
    <t xml:space="preserve">Shareholder Fed. Tax Benefit / (Expense)</t>
  </si>
  <si>
    <t xml:space="preserve">Net Income</t>
  </si>
  <si>
    <t xml:space="preserve">Project</t>
  </si>
  <si>
    <t xml:space="preserve">Interest Expense</t>
  </si>
  <si>
    <t xml:space="preserve">Pre Tax Cash Flow</t>
  </si>
  <si>
    <t xml:space="preserve">Cash Taxes</t>
  </si>
  <si>
    <t xml:space="preserve">Principal Payments</t>
  </si>
  <si>
    <t xml:space="preserve">Capital Expenditures</t>
  </si>
  <si>
    <t xml:space="preserve">Cash Flow to Equity</t>
  </si>
  <si>
    <t xml:space="preserve">END OF PPA ANALYSIS ($000)</t>
  </si>
  <si>
    <t xml:space="preserve">Equity RROR</t>
  </si>
  <si>
    <t xml:space="preserve">Beginning Plant Value</t>
  </si>
  <si>
    <t xml:space="preserve">Beginning Balance</t>
  </si>
  <si>
    <t xml:space="preserve">Beginning Equity Investment</t>
  </si>
  <si>
    <t xml:space="preserve">Target Coupon</t>
  </si>
  <si>
    <t xml:space="preserve">Remaining Equity Exposure</t>
  </si>
  <si>
    <t xml:space="preserve">Actual Cash Flow</t>
  </si>
  <si>
    <t xml:space="preserve">Remaining Equity Exposure as</t>
  </si>
  <si>
    <t xml:space="preserve">Paydown</t>
  </si>
  <si>
    <t xml:space="preserve">a percent of Original Cost</t>
  </si>
  <si>
    <t xml:space="preserve">Ending Balance</t>
  </si>
  <si>
    <t xml:space="preserve">20% of Original Cost</t>
  </si>
  <si>
    <t xml:space="preserve">Equity Return</t>
  </si>
  <si>
    <t xml:space="preserve">Total Cash Flow</t>
  </si>
  <si>
    <t xml:space="preserve">Zero Residual Value</t>
  </si>
  <si>
    <t xml:space="preserve">ANNUAL CASH FLOW AND IRR</t>
  </si>
  <si>
    <t xml:space="preserve">PROJECT CASH FLOW</t>
  </si>
  <si>
    <t xml:space="preserve">Plus Capitalized Interest</t>
  </si>
  <si>
    <t xml:space="preserve">Less Principal Payments</t>
  </si>
  <si>
    <t xml:space="preserve">Less Interest Payments</t>
  </si>
  <si>
    <t xml:space="preserve">  EGC's State Tax Benefit / (Expense)</t>
  </si>
  <si>
    <t xml:space="preserve">  EGC's Federal Tax Benefit / (Expense)</t>
  </si>
  <si>
    <t xml:space="preserve">After Tax Cash Flow</t>
  </si>
  <si>
    <t xml:space="preserve">Equity Partner Net Income</t>
  </si>
  <si>
    <t xml:space="preserve">Equity Partner After Tax Distributable Cash</t>
  </si>
  <si>
    <t xml:space="preserve">Enron Net Income</t>
  </si>
  <si>
    <t xml:space="preserve">Enron After Tax Distributable Cash</t>
  </si>
  <si>
    <t xml:space="preserve">EQUITY PARTNER'S CASHFLOW</t>
  </si>
  <si>
    <t xml:space="preserve"> Equity Partner's State Taxes Benefit (Expense)</t>
  </si>
  <si>
    <t xml:space="preserve"> Equity Partner's Federal Taxes Benefit (Expense)</t>
  </si>
  <si>
    <t xml:space="preserve">Equity Contributions from Equity Partner</t>
  </si>
  <si>
    <t xml:space="preserve">Equity Partner's Cashflow with No Residual</t>
  </si>
  <si>
    <t xml:space="preserve">CF</t>
  </si>
  <si>
    <t xml:space="preserve">Equity Partner's Cashflow with Residual Value</t>
  </si>
  <si>
    <t xml:space="preserve">Residual Value</t>
  </si>
  <si>
    <t xml:space="preserve">Net CF</t>
  </si>
  <si>
    <t xml:space="preserve">Equity Partner's After-Tax IRR w/ 5x EBITDA Residual (20 yr.)</t>
  </si>
  <si>
    <t xml:space="preserve">3 year Treasury (as of April 26)</t>
  </si>
  <si>
    <t xml:space="preserve">8 year Treasury (as of April 26)</t>
  </si>
  <si>
    <t xml:space="preserve">30 year Treasury (as of April 26)</t>
  </si>
  <si>
    <t xml:space="preserve">Spread</t>
  </si>
  <si>
    <t xml:space="preserve">Spread </t>
  </si>
  <si>
    <t xml:space="preserve">All In Coupon Rate</t>
  </si>
  <si>
    <t xml:space="preserve">Maturity Tranche 1</t>
  </si>
  <si>
    <t xml:space="preserve">Maturity Tranche 2</t>
  </si>
  <si>
    <t xml:space="preserve">Average Life Tranche 1</t>
  </si>
  <si>
    <t xml:space="preserve">Average Life Tranche 2</t>
  </si>
  <si>
    <t xml:space="preserve">Average Life Tranche 3</t>
  </si>
  <si>
    <t xml:space="preserve">Total amount ($ '000)</t>
  </si>
  <si>
    <t xml:space="preserve">Custom Amortization</t>
  </si>
  <si>
    <t xml:space="preserve">DEBT ISSUANCE</t>
  </si>
  <si>
    <t xml:space="preserve">Annual Amortization Tranche 1</t>
  </si>
  <si>
    <t xml:space="preserve">Annual Amortization Tranche 2</t>
  </si>
  <si>
    <t xml:space="preserve">Annual Amortization Tranche 3</t>
  </si>
  <si>
    <t xml:space="preserve">Principal Payment </t>
  </si>
  <si>
    <t xml:space="preserve">Interest Payment </t>
  </si>
  <si>
    <t xml:space="preserve">Cash Interest Expense</t>
  </si>
  <si>
    <t xml:space="preserve">Accrued Interest Expense</t>
  </si>
  <si>
    <t xml:space="preserve">Cash Principal Payments</t>
  </si>
  <si>
    <t xml:space="preserve">Principal </t>
  </si>
  <si>
    <t xml:space="preserve">Cumulative</t>
  </si>
  <si>
    <t xml:space="preserve">Oustanding Balance</t>
  </si>
  <si>
    <t xml:space="preserve">Tranche 1 Cash Debt Service</t>
  </si>
  <si>
    <t xml:space="preserve">Tranche 2  Cash Debt Service</t>
  </si>
  <si>
    <t xml:space="preserve">Tranche 3 Cash Debt Service</t>
  </si>
  <si>
    <t xml:space="preserve">     Less Capitalized Interest</t>
  </si>
  <si>
    <t xml:space="preserve">Net Debt Service</t>
  </si>
  <si>
    <t xml:space="preserve">Total Cash Interest Expense</t>
  </si>
  <si>
    <t xml:space="preserve">Total Accrued Interest Expense</t>
  </si>
  <si>
    <t xml:space="preserve">DSCR Fixed Price PPA Period</t>
  </si>
  <si>
    <t xml:space="preserve">Average DSCR </t>
  </si>
  <si>
    <t xml:space="preserve">Minimum DSCR</t>
  </si>
  <si>
    <t xml:space="preserve">Amortization Option</t>
  </si>
  <si>
    <t xml:space="preserve">Straight Line</t>
  </si>
  <si>
    <t xml:space="preserve">Principal Repayments</t>
  </si>
  <si>
    <t xml:space="preserve">Time Factor</t>
  </si>
  <si>
    <t xml:space="preserve">Average Life</t>
  </si>
  <si>
    <t xml:space="preserve">Interest During Construction Calculations</t>
  </si>
  <si>
    <t xml:space="preserve">CARRYING COST OF TURBINES, TRANSFORMERS AND CIRCUIT BREAKERS</t>
  </si>
  <si>
    <t xml:space="preserve">Base Rate</t>
  </si>
  <si>
    <t xml:space="preserve">Term (Months)</t>
  </si>
  <si>
    <t xml:space="preserve">Monthly Rate</t>
  </si>
  <si>
    <t xml:space="preserve">Calculated IDC</t>
  </si>
  <si>
    <t xml:space="preserve">Month</t>
  </si>
  <si>
    <t xml:space="preserve">Percentage Drawn</t>
  </si>
  <si>
    <t xml:space="preserve">Turbine Cost</t>
  </si>
  <si>
    <t xml:space="preserve">Other Cost of Construction</t>
  </si>
  <si>
    <t xml:space="preserve">Principal</t>
  </si>
  <si>
    <t xml:space="preserve">Outstanding Balance</t>
  </si>
  <si>
    <t xml:space="preserve">Monthly Interest</t>
  </si>
  <si>
    <t xml:space="preserve">Cumulative Interest</t>
  </si>
  <si>
    <t xml:space="preserve">Turbine Cost of Carry</t>
  </si>
  <si>
    <t xml:space="preserve">Cost of 1 Turbine</t>
  </si>
  <si>
    <t xml:space="preserve">Cost of Capital for WLB</t>
  </si>
  <si>
    <t xml:space="preserve">='LIBOR+5/8</t>
  </si>
  <si>
    <t xml:space="preserve">Annual</t>
  </si>
  <si>
    <t xml:space="preserve">Daily</t>
  </si>
  <si>
    <t xml:space="preserve">Turbines to be delivered</t>
  </si>
  <si>
    <t xml:space="preserve">Date</t>
  </si>
  <si>
    <t xml:space="preserve">$ per turbine</t>
  </si>
  <si>
    <t xml:space="preserve">PV At Delivery</t>
  </si>
  <si>
    <t xml:space="preserve">DEPRECIATION SCHEDULE</t>
  </si>
  <si>
    <t xml:space="preserve">(Months)</t>
  </si>
  <si>
    <t xml:space="preserve">US FEDERAL TAX DEPRECIATION &amp; AMORTIZATION</t>
  </si>
  <si>
    <t xml:space="preserve">Years</t>
  </si>
  <si>
    <t xml:space="preserve">Total Hard Costs, Capitalized Interests, and Contingency- MACRS</t>
  </si>
  <si>
    <t xml:space="preserve">Transaction Costs</t>
  </si>
  <si>
    <t xml:space="preserve">Total Hard Costs and Capitalized Interests (Land not included)</t>
  </si>
  <si>
    <t xml:space="preserve">Total Beginning Book Value</t>
  </si>
  <si>
    <t xml:space="preserve">Ending Value of Assets</t>
  </si>
  <si>
    <t xml:space="preserve">STATE TAX DEPRECIATION &amp; AMORTIZATION</t>
  </si>
  <si>
    <t xml:space="preserve">BOOK DEPRECIATION &amp; AMORTIZATION</t>
  </si>
  <si>
    <t xml:space="preserve">Residual</t>
  </si>
  <si>
    <t xml:space="preserve">Total Hard Costs, Capitalized Interests, and Contingency- SL</t>
  </si>
  <si>
    <t xml:space="preserve">Ending Book Value of Assets</t>
  </si>
  <si>
    <t xml:space="preserve">TAXES</t>
  </si>
  <si>
    <t xml:space="preserve">STATE TAXES</t>
  </si>
  <si>
    <t xml:space="preserve">State Income Taxes</t>
  </si>
  <si>
    <t xml:space="preserve">   Pretax Book Income</t>
  </si>
  <si>
    <t xml:space="preserve">   Plus Book Depreciation &amp; Amortization</t>
  </si>
  <si>
    <t xml:space="preserve">   Less State Tax Depreciation</t>
  </si>
  <si>
    <t xml:space="preserve">   State Taxable Income</t>
  </si>
  <si>
    <t xml:space="preserve">   State Income Tax Rate</t>
  </si>
  <si>
    <t xml:space="preserve">   Current State Income Tax Expense (Benefit)</t>
  </si>
  <si>
    <t xml:space="preserve">   Beginning NOL's</t>
  </si>
  <si>
    <t xml:space="preserve">   New NOL's</t>
  </si>
  <si>
    <t xml:space="preserve">   Expired NOL's</t>
  </si>
  <si>
    <t xml:space="preserve">   NOL Utilization</t>
  </si>
  <si>
    <t xml:space="preserve">   Ending NOL's</t>
  </si>
  <si>
    <t xml:space="preserve">TOTAL STATE TAXES</t>
  </si>
  <si>
    <t xml:space="preserve">Plus: Supplemental Tax</t>
  </si>
  <si>
    <t xml:space="preserve">        Total State Taxes Utilizing NOLs</t>
  </si>
  <si>
    <t xml:space="preserve">FEDERAL TAXES</t>
  </si>
  <si>
    <t xml:space="preserve">   Less: Federal Tax Depreciation</t>
  </si>
  <si>
    <t xml:space="preserve">   Less: State Taxes</t>
  </si>
  <si>
    <t xml:space="preserve">   Taxable Income</t>
  </si>
  <si>
    <t xml:space="preserve">   Federal Tax Rate</t>
  </si>
  <si>
    <t xml:space="preserve">   Federal Tax Expense/ (Benefit)</t>
  </si>
  <si>
    <t xml:space="preserve">   NOL Carryforward</t>
  </si>
  <si>
    <t xml:space="preserve">   Total Federal Cash Taxes Payable/(Benefit)</t>
  </si>
  <si>
    <t xml:space="preserve">ISSUES</t>
  </si>
  <si>
    <t xml:space="preserve">energy margin only accounts for 1 PPA and 1 market period.</t>
  </si>
  <si>
    <t xml:space="preserve">does em apply to SC transaction?</t>
  </si>
</sst>
</file>

<file path=xl/styles.xml><?xml version="1.0" encoding="utf-8"?>
<styleSheet xmlns="http://schemas.openxmlformats.org/spreadsheetml/2006/main">
  <numFmts count="96">
    <numFmt numFmtId="164" formatCode="General"/>
    <numFmt numFmtId="165" formatCode="\$#,##0.0000000000_);&quot;($&quot;#,##0.0000000000\)"/>
    <numFmt numFmtId="166" formatCode="0.00000000000000%"/>
    <numFmt numFmtId="167" formatCode="\$#,##0.00000"/>
    <numFmt numFmtId="168" formatCode="mm/dd/yy"/>
    <numFmt numFmtId="169" formatCode="[$-409]#,##0_);[RED]\(#,##0\)"/>
    <numFmt numFmtId="170" formatCode="\$#,##0_);[RED]&quot;($&quot;#,##0\)"/>
    <numFmt numFmtId="171" formatCode="_(* #,##0.000000_);_(* \(#,##0.000000\);_(* \-??_);_(@_)"/>
    <numFmt numFmtId="172" formatCode="0.000000000_)"/>
    <numFmt numFmtId="173" formatCode="0.000E+00_)"/>
    <numFmt numFmtId="174" formatCode="\$#,##0;[RED]\$#,##0"/>
    <numFmt numFmtId="175" formatCode="\$#,##0.0000000_);[RED]&quot;($&quot;#,##0.0000000\)"/>
    <numFmt numFmtId="176" formatCode="0.000000\x_);\(0.000000&quot;x)&quot;"/>
    <numFmt numFmtId="177" formatCode="0.0000000%"/>
    <numFmt numFmtId="178" formatCode="0.000000%"/>
    <numFmt numFmtId="179" formatCode="[$-409]#,##0.00_);[RED]\(#,##0.00\)"/>
    <numFmt numFmtId="180" formatCode="\$#,##0.00_);[RED]&quot;($&quot;#,##0.00\)"/>
    <numFmt numFmtId="181" formatCode="_(\$* #,##0.000_);_(\$* \(#,##0.000\);_(\$* \-??_);_(@_)"/>
    <numFmt numFmtId="182" formatCode="0.0000000000"/>
    <numFmt numFmtId="183" formatCode="m/yy"/>
    <numFmt numFmtId="184" formatCode="_(* #,##0.0000_);_(* \(#,##0.0000\);_(* \-????_);_(@_)"/>
    <numFmt numFmtId="185" formatCode="_(* #,##0_);_(* \(#,##0\);_(* \-_);_(@_)"/>
    <numFmt numFmtId="186" formatCode="\$#,##0.0000000_);&quot;($&quot;#,##0.0000000\)"/>
    <numFmt numFmtId="187" formatCode="0.000000000000000%"/>
    <numFmt numFmtId="188" formatCode="_ &quot;$ &quot;* #,##0_ ;_ &quot;$ &quot;* \-#,##0_ ;_ &quot;$ &quot;* \-_ ;_ @_ "/>
    <numFmt numFmtId="189" formatCode="\$#,##0;&quot;($&quot;#,##0\)"/>
    <numFmt numFmtId="190" formatCode="#,##0.0000000000_);[RED]\(#,##0.0000000000\)"/>
    <numFmt numFmtId="191" formatCode="0.000"/>
    <numFmt numFmtId="192" formatCode="_ * #,##0_ ;_ * \-#,##0_ ;_ * \-_ ;_ @_ "/>
    <numFmt numFmtId="193" formatCode="_(* #,##0.0_);_(* \(#,##0.0\);_(* \-?_);_(@_)"/>
    <numFmt numFmtId="194" formatCode="_(* #,##0.00_);_(* \(#,##0.00\);_(* \-??_);_(@_)"/>
    <numFmt numFmtId="195" formatCode="#,##0.00"/>
    <numFmt numFmtId="196" formatCode="#,##0.00000000_);[RED]\(#,##0.00000000\)"/>
    <numFmt numFmtId="197" formatCode="0_);[RED]\(0\)"/>
    <numFmt numFmtId="198" formatCode="0E+00"/>
    <numFmt numFmtId="199" formatCode="_ * #,##0.00_ ;_ * \-#,##0.00_ ;_ * \-??_ ;_ @_ "/>
    <numFmt numFmtId="200" formatCode="0.000000%;\-0.000000%;&quot; -&quot;_%;@_%"/>
    <numFmt numFmtId="201" formatCode="_(\$* #,##0_);_(\$* \(#,##0\);_(\$* \-_);_(@_)"/>
    <numFmt numFmtId="202" formatCode="mmm\-dd"/>
    <numFmt numFmtId="203" formatCode="_(* #,##0.0000000000_);_(* \(#,##0.0000000000\);_(* \-_);_(@_)"/>
    <numFmt numFmtId="204" formatCode="0.00000000000000000%"/>
    <numFmt numFmtId="205" formatCode="0.0000_)"/>
    <numFmt numFmtId="206" formatCode="#,##0.000_);\(#,##0.000\)"/>
    <numFmt numFmtId="207" formatCode="_(\$* #,##0.00000_);_(\$* \(#,##0.00000\);_(\$* \-??_);_(@_)"/>
    <numFmt numFmtId="208" formatCode="#,##0.000000_);[RED]\(#,##0.000000\)"/>
    <numFmt numFmtId="209" formatCode="#,##0;\(#,##0\)"/>
    <numFmt numFmtId="210" formatCode="\$#,##0.000000000_);&quot;($&quot;#,##0.000000000\)"/>
    <numFmt numFmtId="211" formatCode="[$-409]m/d/yyyy"/>
    <numFmt numFmtId="212" formatCode="General_)"/>
    <numFmt numFmtId="213" formatCode="_(* #,##0.0000_);_(* \(#,##0.0000\);_(* \-??_);_(@_)"/>
    <numFmt numFmtId="214" formatCode="_(* #,##0.00000000_);_(* \(#,##0.00000000\);_(* \-??_);_(@_)"/>
    <numFmt numFmtId="215" formatCode="_(\$* #,##0.00_);_(\$* \(#,##0.00\);_(\$* \-??_);_(@_)"/>
    <numFmt numFmtId="216" formatCode="_(* #,##0.000000000000_);_(* \(#,##0.000000000000\);_(* \-_);_(@_)"/>
    <numFmt numFmtId="217" formatCode="#,##0.000_);[RED]\(#,##0.000\)"/>
    <numFmt numFmtId="218" formatCode="0.000000000"/>
    <numFmt numFmtId="219" formatCode="#,##0.0000000_);[RED]\(#,##0.0000000\)"/>
    <numFmt numFmtId="220" formatCode="yyyy"/>
    <numFmt numFmtId="221" formatCode="##0.000&quot; ¢&quot;"/>
    <numFmt numFmtId="222" formatCode="\$#,##0.000000_);[RED]&quot;($&quot;#,##0.000000\)"/>
    <numFmt numFmtId="223" formatCode="0.0E+00"/>
    <numFmt numFmtId="224" formatCode="dd\-mmm_)"/>
    <numFmt numFmtId="225" formatCode="0.00"/>
    <numFmt numFmtId="226" formatCode="[$-409]d\-mmm\-yy"/>
    <numFmt numFmtId="227" formatCode=";;;"/>
    <numFmt numFmtId="228" formatCode="_ &quot;$ &quot;* #,##0.00_ ;_ &quot;$ &quot;* \-#,##0.00_ ;_ &quot;$ &quot;* \-??_ ;_ @_ "/>
    <numFmt numFmtId="229" formatCode="_(* #,##0.000_);_(* \(#,##0.000\);_(* \-???_);_(@_)"/>
    <numFmt numFmtId="230" formatCode="mmmm\ d&quot;, &quot;yyyy"/>
    <numFmt numFmtId="231" formatCode="[$-409]#,##0_);\(#,##0\)"/>
    <numFmt numFmtId="232" formatCode="0.00_)"/>
    <numFmt numFmtId="233" formatCode="0.0000000_)"/>
    <numFmt numFmtId="234" formatCode="#,##0"/>
    <numFmt numFmtId="235" formatCode="#,##0.0_);\(#,##0.0\)"/>
    <numFmt numFmtId="236" formatCode="#,##0.0000_);[RED]\(#,##0.0000\)"/>
    <numFmt numFmtId="237" formatCode="0"/>
    <numFmt numFmtId="238" formatCode="0.00%"/>
    <numFmt numFmtId="239" formatCode="0%"/>
    <numFmt numFmtId="240" formatCode="0.0%;\-0.0%;&quot; -&quot;_%;@_%"/>
    <numFmt numFmtId="241" formatCode="0.0%"/>
    <numFmt numFmtId="242" formatCode="_ &quot;$ &quot;* #,##0.0_ ;_ &quot;$ &quot;* \-#,##0.0_ ;_ &quot;$ &quot;* \-??_ ;_ @_ "/>
    <numFmt numFmtId="243" formatCode="_(* #,##0_);_(* \(#,##0\);_(* \-??_);_(@_)"/>
    <numFmt numFmtId="244" formatCode="0.00\x_);\(0.00&quot;x)&quot;"/>
    <numFmt numFmtId="245" formatCode="_(\$* #,##0_);_(\$* \(#,##0\);_(\$* \-??_);_(@_)"/>
    <numFmt numFmtId="246" formatCode="#,##0.0_);[RED]\(#,##0.0\)"/>
    <numFmt numFmtId="247" formatCode="0.0\x_);\(0.00&quot;x)&quot;"/>
    <numFmt numFmtId="248" formatCode="0.00\x"/>
    <numFmt numFmtId="249" formatCode="_(* #,##0.0_);_(* \(#,##0.0\);_(* \-??_);_(@_)"/>
    <numFmt numFmtId="250" formatCode="m/d/yy"/>
    <numFmt numFmtId="251" formatCode="[$-409]#,##0.00_);\(#,##0.00\)"/>
    <numFmt numFmtId="252" formatCode="0.000%"/>
    <numFmt numFmtId="253" formatCode="\$#,##0.00_);&quot;($&quot;#,##0.00\)"/>
    <numFmt numFmtId="254" formatCode="0.0"/>
    <numFmt numFmtId="255" formatCode="#,##0.0"/>
    <numFmt numFmtId="256" formatCode="[$-409]d\-mmm"/>
    <numFmt numFmtId="257" formatCode="\$#,##0_);&quot;($&quot;#,##0\)"/>
    <numFmt numFmtId="258" formatCode="0_)"/>
    <numFmt numFmtId="259" formatCode="_(* #,##0.00000_);_(* \(#,##0.00000\);_(* \-??_);_(@_)"/>
  </numFmts>
  <fonts count="12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MS Sans Serif"/>
      <family val="2"/>
    </font>
    <font>
      <sz val="12"/>
      <name val="???"/>
      <family val="3"/>
      <charset val="129"/>
    </font>
    <font>
      <sz val="12"/>
      <name val="???"/>
      <family val="1"/>
      <charset val="129"/>
    </font>
    <font>
      <sz val="10"/>
      <name val="???"/>
      <family val="3"/>
      <charset val="129"/>
    </font>
    <font>
      <sz val="11"/>
      <name val="??"/>
      <family val="3"/>
      <charset val="129"/>
    </font>
    <font>
      <sz val="10"/>
      <name val="Arial"/>
      <family val="2"/>
    </font>
    <font>
      <sz val="11"/>
      <name val="???"/>
      <family val="1"/>
      <charset val="129"/>
    </font>
    <font>
      <sz val="11"/>
      <name val="???"/>
      <family val="3"/>
      <charset val="129"/>
    </font>
    <font>
      <sz val="8"/>
      <name val="Arial"/>
      <family val="2"/>
    </font>
    <font>
      <b val="true"/>
      <u val="single"/>
      <sz val="11"/>
      <color rgb="FF800000"/>
      <name val="Arial"/>
      <family val="2"/>
    </font>
    <font>
      <sz val="10"/>
      <color rgb="FF0000FF"/>
      <name val="Arial"/>
      <family val="2"/>
    </font>
    <font>
      <u val="single"/>
      <sz val="8.4"/>
      <color rgb="FF0000FF"/>
      <name val="Arial"/>
      <family val="2"/>
    </font>
    <font>
      <sz val="7"/>
      <name val="Small Fonts"/>
      <family val="0"/>
    </font>
    <font>
      <b val="true"/>
      <i val="true"/>
      <sz val="16"/>
      <name val="Arial"/>
      <family val="0"/>
    </font>
    <font>
      <sz val="12"/>
      <name val="Arial"/>
      <family val="2"/>
    </font>
    <font>
      <sz val="10"/>
      <name val="Courier New"/>
      <family val="0"/>
    </font>
    <font>
      <sz val="12"/>
      <color rgb="FF000000"/>
      <name val="Arial MT"/>
      <family val="0"/>
    </font>
    <font>
      <sz val="10"/>
      <name val="MS Sans Serif"/>
      <family val="0"/>
    </font>
    <font>
      <sz val="12"/>
      <name val="Courier New"/>
      <family val="3"/>
    </font>
    <font>
      <sz val="8"/>
      <name val="Courier New"/>
      <family val="3"/>
    </font>
    <font>
      <sz val="10"/>
      <name val="Geneva"/>
      <family val="2"/>
    </font>
    <font>
      <sz val="8"/>
      <name val="Arial"/>
      <family val="0"/>
    </font>
    <font>
      <sz val="10"/>
      <name val="Book Antiqua"/>
      <family val="1"/>
    </font>
    <font>
      <sz val="10"/>
      <name val="Times New Roman"/>
      <family val="0"/>
    </font>
    <font>
      <sz val="10"/>
      <name val="Times New Roman"/>
      <family val="1"/>
    </font>
    <font>
      <sz val="8"/>
      <name val=""/>
      <family val="0"/>
    </font>
    <font>
      <sz val="8"/>
      <name val="MS Sans Serif"/>
      <family val="2"/>
    </font>
    <font>
      <sz val="10"/>
      <color rgb="FF000000"/>
      <name val="Arial"/>
      <family val="2"/>
    </font>
    <font>
      <sz val="12"/>
      <name val="Times New Roman"/>
      <family val="1"/>
    </font>
    <font>
      <sz val="10"/>
      <name val="Courier New"/>
      <family val="3"/>
    </font>
    <font>
      <sz val="10"/>
      <name val="Univers (W1)"/>
      <family val="0"/>
    </font>
    <font>
      <sz val="12"/>
      <name val="Times New Roman"/>
      <family val="0"/>
    </font>
    <font>
      <sz val="10"/>
      <name val="Univers (W1)"/>
      <family val="2"/>
    </font>
    <font>
      <b val="true"/>
      <sz val="14"/>
      <name val="Times New Roman"/>
      <family val="1"/>
    </font>
    <font>
      <b val="true"/>
      <sz val="14"/>
      <name val="Times New Roman"/>
      <family val="0"/>
    </font>
    <font>
      <sz val="10"/>
      <name val="Geneva"/>
      <family val="0"/>
    </font>
    <font>
      <sz val="14"/>
      <name val="AngsanaUPC"/>
      <family val="1"/>
    </font>
    <font>
      <sz val="9"/>
      <name val="Arial Narrow"/>
      <family val="2"/>
    </font>
    <font>
      <sz val="7"/>
      <name val="Arial"/>
      <family val="2"/>
    </font>
    <font>
      <sz val="7"/>
      <name val="Arial"/>
      <family val="0"/>
    </font>
    <font>
      <sz val="12"/>
      <name val="EucrosiaUPC"/>
      <family val="1"/>
    </font>
    <font>
      <sz val="14"/>
      <name val="CordiaUPC"/>
      <family val="1"/>
    </font>
    <font>
      <sz val="10"/>
      <name val="Advisor SSi"/>
      <family val="1"/>
    </font>
    <font>
      <sz val="14"/>
      <name val="FreesiaUPC"/>
      <family val="1"/>
    </font>
    <font>
      <sz val="12"/>
      <name val="PathWay Access 3.0"/>
      <family val="3"/>
    </font>
    <font>
      <sz val="12"/>
      <name val="Arial"/>
      <family val="0"/>
    </font>
    <font>
      <sz val="8.5"/>
      <name val="MS Sans Serif"/>
      <family val="2"/>
    </font>
    <font>
      <sz val="10"/>
      <name val="Arial Narrow"/>
      <family val="2"/>
    </font>
    <font>
      <sz val="10"/>
      <color rgb="FF000000"/>
      <name val="MS Sans Serif"/>
      <family val="0"/>
    </font>
    <font>
      <sz val="9"/>
      <name val="Arial"/>
      <family val="0"/>
    </font>
    <font>
      <sz val="11"/>
      <name val="Book Antiqua"/>
      <family val="1"/>
    </font>
    <font>
      <sz val="8"/>
      <name val="Times New Roman"/>
      <family val="0"/>
    </font>
    <font>
      <sz val="10"/>
      <name val="TimesNewRomanPS"/>
      <family val="1"/>
    </font>
    <font>
      <sz val="8"/>
      <name val="Times New Roman"/>
      <family val="1"/>
    </font>
    <font>
      <sz val="8"/>
      <color rgb="FF0000FF"/>
      <name val="Arial"/>
      <family val="2"/>
    </font>
    <font>
      <b val="true"/>
      <sz val="12"/>
      <name val="Times New Roman"/>
      <family val="1"/>
    </font>
    <font>
      <b val="true"/>
      <sz val="16"/>
      <name val="Times New Roman"/>
      <family val="1"/>
    </font>
    <font>
      <u val="single"/>
      <sz val="12"/>
      <name val="Times New Roman"/>
      <family val="1"/>
    </font>
    <font>
      <b val="true"/>
      <sz val="14"/>
      <color rgb="FFFF0000"/>
      <name val="Times New Roman"/>
      <family val="1"/>
    </font>
    <font>
      <b val="true"/>
      <sz val="12"/>
      <color rgb="FFFF0000"/>
      <name val="Times New Roman"/>
      <family val="1"/>
    </font>
    <font>
      <sz val="14"/>
      <name val="Arial"/>
      <family val="2"/>
    </font>
    <font>
      <b val="true"/>
      <sz val="20"/>
      <name val="Arial"/>
      <family val="2"/>
    </font>
    <font>
      <sz val="20"/>
      <name val="Arial"/>
      <family val="2"/>
    </font>
    <font>
      <b val="true"/>
      <u val="single"/>
      <sz val="16"/>
      <name val="Arial"/>
      <family val="2"/>
    </font>
    <font>
      <sz val="16"/>
      <name val="Arial"/>
      <family val="2"/>
    </font>
    <font>
      <b val="true"/>
      <sz val="14"/>
      <name val="Arial"/>
      <family val="2"/>
    </font>
    <font>
      <b val="true"/>
      <sz val="18"/>
      <color rgb="FFFF0000"/>
      <name val="Times New Roman"/>
      <family val="1"/>
    </font>
    <font>
      <b val="true"/>
      <sz val="20"/>
      <name val="Times New Roman"/>
      <family val="1"/>
    </font>
    <font>
      <b val="true"/>
      <sz val="14"/>
      <color rgb="FF0000FF"/>
      <name val="Times New Roman"/>
      <family val="1"/>
    </font>
    <font>
      <b val="true"/>
      <sz val="10"/>
      <name val="Times New Roman"/>
      <family val="1"/>
    </font>
    <font>
      <b val="true"/>
      <u val="single"/>
      <sz val="12"/>
      <name val="Times New Roman"/>
      <family val="1"/>
    </font>
    <font>
      <sz val="9"/>
      <name val="Times New Roman"/>
      <family val="1"/>
    </font>
    <font>
      <b val="true"/>
      <sz val="10"/>
      <color rgb="FFFF0000"/>
      <name val="Times New Roman"/>
      <family val="1"/>
    </font>
    <font>
      <i val="true"/>
      <u val="single"/>
      <sz val="12"/>
      <name val="Times New Roman"/>
      <family val="1"/>
    </font>
    <font>
      <b val="true"/>
      <sz val="12"/>
      <color rgb="FF0000FF"/>
      <name val="Times New Roman"/>
      <family val="1"/>
    </font>
    <font>
      <sz val="12"/>
      <color rgb="FF0000FF"/>
      <name val="Times New Roman"/>
      <family val="1"/>
    </font>
    <font>
      <i val="true"/>
      <sz val="12"/>
      <name val="Times New Roman"/>
      <family val="1"/>
    </font>
    <font>
      <sz val="12"/>
      <color rgb="FFFF0000"/>
      <name val="Times New Roman"/>
      <family val="1"/>
    </font>
    <font>
      <i val="true"/>
      <sz val="10"/>
      <name val="Times New Roman"/>
      <family val="1"/>
    </font>
    <font>
      <sz val="12"/>
      <color rgb="FF000000"/>
      <name val="Times New Roman"/>
      <family val="1"/>
    </font>
    <font>
      <b val="true"/>
      <u val="single"/>
      <sz val="12"/>
      <color rgb="FF000000"/>
      <name val="Times New Roman"/>
      <family val="1"/>
    </font>
    <font>
      <b val="true"/>
      <i val="true"/>
      <sz val="12"/>
      <color rgb="FF0000FF"/>
      <name val="Times New Roman"/>
      <family val="1"/>
    </font>
    <font>
      <b val="true"/>
      <u val="single"/>
      <sz val="12"/>
      <color rgb="FF0000FF"/>
      <name val="Times New Roman"/>
      <family val="1"/>
    </font>
    <font>
      <b val="true"/>
      <sz val="12"/>
      <color rgb="FF000000"/>
      <name val="Times New Roman"/>
      <family val="1"/>
    </font>
    <font>
      <b val="true"/>
      <i val="true"/>
      <sz val="12"/>
      <name val="Times New Roman"/>
      <family val="1"/>
    </font>
    <font>
      <i val="true"/>
      <sz val="10"/>
      <name val="Arial"/>
      <family val="2"/>
    </font>
    <font>
      <sz val="10"/>
      <color rgb="FF0000FF"/>
      <name val="Times New Roman"/>
      <family val="1"/>
    </font>
    <font>
      <u val="single"/>
      <sz val="10"/>
      <name val="Times New Roman"/>
      <family val="1"/>
    </font>
    <font>
      <sz val="10"/>
      <color rgb="FFFF00FF"/>
      <name val="Times New Roman"/>
      <family val="1"/>
    </font>
    <font>
      <sz val="7"/>
      <name val="times new roman"/>
      <family val="1"/>
    </font>
    <font>
      <b val="true"/>
      <sz val="10"/>
      <color rgb="FF800080"/>
      <name val="Times New Roman"/>
      <family val="1"/>
    </font>
    <font>
      <b val="true"/>
      <sz val="10"/>
      <color rgb="FF0000FF"/>
      <name val="Times New Roman"/>
      <family val="1"/>
    </font>
    <font>
      <b val="true"/>
      <sz val="10"/>
      <name val="Arial"/>
      <family val="2"/>
    </font>
    <font>
      <u val="single"/>
      <sz val="10"/>
      <name val="Arial"/>
      <family val="2"/>
    </font>
    <font>
      <u val="single"/>
      <sz val="10"/>
      <color rgb="FF800080"/>
      <name val="Times New Roman"/>
      <family val="1"/>
    </font>
    <font>
      <b val="true"/>
      <u val="single"/>
      <sz val="10"/>
      <name val="Times New Roman"/>
      <family val="1"/>
    </font>
    <font>
      <b val="true"/>
      <u val="single"/>
      <sz val="14"/>
      <name val="Times New Roman"/>
      <family val="1"/>
    </font>
    <font>
      <b val="true"/>
      <sz val="10"/>
      <color rgb="FF000000"/>
      <name val="times new roman"/>
      <family val="1"/>
    </font>
    <font>
      <i val="true"/>
      <sz val="10"/>
      <color rgb="FFFF0000"/>
      <name val="Times New Roman"/>
      <family val="1"/>
    </font>
    <font>
      <sz val="10"/>
      <color rgb="FFFF0000"/>
      <name val="Times New Roman"/>
      <family val="1"/>
    </font>
    <font>
      <i val="true"/>
      <u val="single"/>
      <sz val="10"/>
      <name val="Times New Roman"/>
      <family val="1"/>
    </font>
    <font>
      <sz val="8"/>
      <color rgb="FF000000"/>
      <name val="Times New Roman"/>
      <family val="1"/>
    </font>
    <font>
      <sz val="8"/>
      <color rgb="FF000000"/>
      <name val="Arial MT"/>
      <family val="0"/>
    </font>
    <font>
      <b val="true"/>
      <i val="true"/>
      <sz val="8"/>
      <color rgb="FF000000"/>
      <name val="Times New Roman"/>
      <family val="1"/>
    </font>
    <font>
      <sz val="8"/>
      <color rgb="FF000000"/>
      <name val="P-TIMES"/>
      <family val="0"/>
    </font>
    <font>
      <b val="true"/>
      <sz val="8"/>
      <color rgb="FF000000"/>
      <name val="Times New Roman"/>
      <family val="1"/>
    </font>
    <font>
      <b val="true"/>
      <sz val="8"/>
      <color rgb="FF0000FF"/>
      <name val="Times New Roman"/>
      <family val="1"/>
    </font>
    <font>
      <b val="true"/>
      <sz val="8"/>
      <color rgb="FFFF0000"/>
      <name val="Times New Roman"/>
      <family val="1"/>
    </font>
    <font>
      <b val="true"/>
      <sz val="8"/>
      <name val="Times New Roman"/>
      <family val="1"/>
    </font>
    <font>
      <sz val="8"/>
      <color rgb="FF0000FF"/>
      <name val="Times New Roman"/>
      <family val="1"/>
    </font>
    <font>
      <sz val="8"/>
      <color rgb="FF0000FF"/>
      <name val="P-TIMES"/>
      <family val="0"/>
    </font>
    <font>
      <sz val="8"/>
      <color rgb="FF000000"/>
      <name val="Tahoma"/>
      <family val="2"/>
    </font>
    <font>
      <sz val="10"/>
      <color rgb="FF000000"/>
      <name val="Times New Roman"/>
      <family val="1"/>
    </font>
    <font>
      <u val="single"/>
      <sz val="10"/>
      <color rgb="FFFF0000"/>
      <name val="Times New Roman"/>
      <family val="1"/>
    </font>
    <font>
      <b val="true"/>
      <sz val="14"/>
      <color rgb="FF000000"/>
      <name val="Times New Roman"/>
      <family val="1"/>
    </font>
    <font>
      <b val="true"/>
      <i val="true"/>
      <u val="single"/>
      <sz val="10"/>
      <name val="Times New Roman"/>
      <family val="1"/>
    </font>
    <font>
      <b val="true"/>
      <u val="single"/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99CCFF"/>
        <bgColor rgb="FFC0C0C0"/>
      </patternFill>
    </fill>
    <fill>
      <patternFill patternType="solid">
        <fgColor rgb="FF00FFFF"/>
        <bgColor rgb="FF00FFFF"/>
      </patternFill>
    </fill>
    <fill>
      <patternFill patternType="solid">
        <fgColor rgb="FFC0C0C0"/>
        <bgColor rgb="FF99CCFF"/>
      </patternFill>
    </fill>
    <fill>
      <patternFill patternType="solid">
        <fgColor rgb="FFFFFFCC"/>
        <bgColor rgb="FFFFFFFF"/>
      </patternFill>
    </fill>
    <fill>
      <patternFill patternType="solid">
        <fgColor rgb="FF003300"/>
        <bgColor rgb="FF333300"/>
      </patternFill>
    </fill>
    <fill>
      <patternFill patternType="solid">
        <fgColor rgb="FFFFFF00"/>
        <bgColor rgb="FFFFFF00"/>
      </patternFill>
    </fill>
    <fill>
      <patternFill patternType="solid">
        <fgColor rgb="FFFFFF99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CFFCC"/>
        <bgColor rgb="FFCCFFFF"/>
      </patternFill>
    </fill>
    <fill>
      <patternFill patternType="solid">
        <fgColor rgb="FFE3E3E3"/>
        <bgColor rgb="FFCCFFCC"/>
      </patternFill>
    </fill>
  </fills>
  <borders count="36">
    <border diagonalUp="false" diagonalDown="false">
      <left/>
      <right/>
      <top/>
      <bottom/>
      <diagonal/>
    </border>
    <border diagonalUp="false" diagonalDown="false">
      <left style="double"/>
      <right/>
      <top/>
      <bottom style="hair"/>
      <diagonal/>
    </border>
    <border diagonalUp="false" diagonalDown="false">
      <left style="double"/>
      <right style="double"/>
      <top style="double"/>
      <bottom style="double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</borders>
  <cellStyleXfs count="1556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21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239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0" fillId="0" borderId="0" applyFont="true" applyBorder="false" applyAlignment="false" applyProtection="false"/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false" applyAlignment="false" applyProtection="false"/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false" applyAlignment="false" applyProtection="false"/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0" fillId="0" borderId="0" applyFont="true" applyBorder="false" applyAlignment="false" applyProtection="false"/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0" fillId="2" borderId="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91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3" borderId="0" applyFont="true" applyBorder="false" applyAlignment="false" applyProtection="false"/>
    <xf numFmtId="193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3" borderId="0" applyFont="true" applyBorder="false" applyAlignment="false" applyProtection="false"/>
    <xf numFmtId="182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3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96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3" borderId="0" applyFont="true" applyBorder="false" applyAlignment="false" applyProtection="false"/>
    <xf numFmtId="194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3" borderId="0" applyFont="true" applyBorder="false" applyAlignment="false" applyProtection="false"/>
    <xf numFmtId="194" fontId="9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9" fontId="0" fillId="3" borderId="0" applyFont="true" applyBorder="false" applyAlignment="false" applyProtection="false"/>
    <xf numFmtId="179" fontId="0" fillId="3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3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3" borderId="0" applyFont="true" applyBorder="false" applyAlignment="false" applyProtection="false"/>
    <xf numFmtId="195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9" fontId="0" fillId="3" borderId="0" applyFont="true" applyBorder="false" applyAlignment="false" applyProtection="false"/>
    <xf numFmtId="179" fontId="0" fillId="3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3" borderId="0" applyFont="true" applyBorder="false" applyAlignment="false" applyProtection="false"/>
    <xf numFmtId="179" fontId="0" fillId="3" borderId="0" applyFont="true" applyBorder="false" applyAlignment="false" applyProtection="false"/>
    <xf numFmtId="179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9" fontId="0" fillId="3" borderId="0" applyFont="true" applyBorder="false" applyAlignment="false" applyProtection="false"/>
    <xf numFmtId="179" fontId="0" fillId="3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69" fontId="4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79" fontId="0" fillId="3" borderId="0" applyFont="true" applyBorder="false" applyAlignment="false" applyProtection="false"/>
    <xf numFmtId="179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218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218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2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222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22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23" fontId="0" fillId="0" borderId="0" applyFont="true" applyBorder="false" applyAlignment="false" applyProtection="false"/>
    <xf numFmtId="22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23" fontId="0" fillId="0" borderId="0" applyFont="true" applyBorder="false" applyAlignment="false" applyProtection="false"/>
    <xf numFmtId="225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22" fontId="0" fillId="0" borderId="0" applyFont="true" applyBorder="false" applyAlignment="false" applyProtection="false"/>
    <xf numFmtId="223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26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27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28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70" fontId="8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228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229" fontId="0" fillId="0" borderId="0" applyFont="true" applyBorder="false" applyAlignment="false" applyProtection="false"/>
    <xf numFmtId="230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2" fillId="4" borderId="0" applyFont="true" applyBorder="false" applyAlignment="false" applyProtection="false"/>
    <xf numFmtId="164" fontId="13" fillId="0" borderId="0" applyFont="true" applyBorder="false" applyAlignment="false" applyProtection="false"/>
    <xf numFmtId="211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211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4" fillId="0" borderId="2" applyFont="true" applyBorder="true" applyAlignment="false" applyProtection="false"/>
    <xf numFmtId="164" fontId="15" fillId="0" borderId="0" applyFont="true" applyBorder="false" applyAlignment="false" applyProtection="false"/>
    <xf numFmtId="164" fontId="12" fillId="5" borderId="0" applyFont="true" applyBorder="false" applyAlignment="false" applyProtection="false"/>
    <xf numFmtId="231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2" fontId="1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5" fillId="0" borderId="0" applyFont="true" applyBorder="false" applyAlignment="false" applyProtection="false"/>
    <xf numFmtId="231" fontId="25" fillId="0" borderId="0" applyFont="true" applyBorder="false" applyAlignment="false" applyProtection="false"/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5" fillId="0" borderId="0" applyFont="true" applyBorder="false" applyAlignment="false" applyProtection="false"/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5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5" fillId="0" borderId="0" applyFont="true" applyBorder="false" applyAlignment="false" applyProtection="false"/>
    <xf numFmtId="231" fontId="2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5" fillId="0" borderId="0" applyFont="true" applyBorder="false" applyAlignment="false" applyProtection="false"/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231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5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5" fillId="0" borderId="0" applyFont="true" applyBorder="false" applyAlignment="false" applyProtection="false"/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5" fillId="0" borderId="0" applyFont="true" applyBorder="false" applyAlignment="false" applyProtection="false"/>
    <xf numFmtId="231" fontId="25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0" fillId="0" borderId="0" applyFont="true" applyBorder="true" applyAlignment="false" applyProtection="true">
      <protection locked="true" hidden="false"/>
    </xf>
    <xf numFmtId="231" fontId="25" fillId="0" borderId="0" applyFont="true" applyBorder="false" applyAlignment="false" applyProtection="false"/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false" applyProtection="true"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false" applyProtection="true">
      <protection locked="true" hidden="false"/>
    </xf>
    <xf numFmtId="234" fontId="0" fillId="0" borderId="0" applyFont="true" applyBorder="true" applyAlignment="false" applyProtection="true"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1" fillId="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5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false" applyProtection="true"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false" applyProtection="true"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0" fillId="0" borderId="0" applyFont="true" applyBorder="true" applyAlignment="false" applyProtection="true"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6" fontId="0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231" fontId="3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false" applyProtection="false"/>
    <xf numFmtId="164" fontId="34" fillId="0" borderId="3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3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6" fillId="0" borderId="3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3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3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4" fillId="0" borderId="3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6" fillId="0" borderId="3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231" fontId="3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3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3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2" fontId="4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5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5" fillId="0" borderId="0" applyFont="true" applyBorder="false" applyAlignment="false" applyProtection="false"/>
    <xf numFmtId="164" fontId="0" fillId="0" borderId="0" applyFont="true" applyBorder="true" applyAlignment="false" applyProtection="true">
      <protection locked="true" hidden="false"/>
    </xf>
    <xf numFmtId="234" fontId="0" fillId="0" borderId="0" applyFont="true" applyBorder="true" applyAlignment="false" applyProtection="true"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5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5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5" fillId="0" borderId="0" applyFont="true" applyBorder="false" applyAlignment="false" applyProtection="false"/>
    <xf numFmtId="231" fontId="25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5" fillId="0" borderId="0" applyFont="true" applyBorder="false" applyAlignment="false" applyProtection="false"/>
    <xf numFmtId="231" fontId="25" fillId="0" borderId="0" applyFont="true" applyBorder="false" applyAlignment="false" applyProtection="false"/>
    <xf numFmtId="231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5" fontId="19" fillId="0" border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5" fillId="0" borderId="0" applyFont="true" applyBorder="false" applyAlignment="false" applyProtection="false"/>
    <xf numFmtId="231" fontId="25" fillId="0" borderId="0" applyFont="true" applyBorder="false" applyAlignment="false" applyProtection="false"/>
    <xf numFmtId="231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true" applyProtection="true">
      <alignment horizontal="general" vertical="bottom" textRotation="0" wrapText="true" indent="0" shrinkToFit="false"/>
      <protection locked="true" hidden="false"/>
    </xf>
  </cellStyleXfs>
  <cellXfs count="66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4" borderId="0" xfId="1219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0" fillId="0" borderId="0" xfId="1219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9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9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1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1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3" fontId="3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1" fontId="3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9" fontId="3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32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39" fontId="32" fillId="0" borderId="1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1" fontId="32" fillId="0" borderId="1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3" fontId="32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3" fontId="32" fillId="0" borderId="11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3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0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32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2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2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2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2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9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8" fontId="59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4" fontId="59" fillId="0" borderId="1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4" fontId="59" fillId="0" borderId="1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2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2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9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8" fontId="59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4" fontId="59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4" fontId="59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2" fillId="4" borderId="0" xfId="1219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2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2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9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8" fontId="59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4" fontId="59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4" fontId="59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8" fontId="5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4" fontId="5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3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8" fontId="32" fillId="0" borderId="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4" fontId="32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4" fontId="32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8" fontId="32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8" fontId="32" fillId="0" borderId="1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4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4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245" fontId="6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5" fontId="64" fillId="8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3" fontId="6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7" fontId="6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15" fontId="6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5" fontId="64" fillId="8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239" fontId="64" fillId="0" borderId="19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4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9" fontId="64" fillId="0" borderId="2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9" fontId="64" fillId="0" borderId="2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9" fontId="64" fillId="0" borderId="22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9" fontId="64" fillId="0" borderId="3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9" fontId="64" fillId="0" borderId="23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9" fontId="64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8" fontId="64" fillId="0" borderId="19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8" fontId="64" fillId="0" borderId="2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8" fontId="64" fillId="0" borderId="2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8" fontId="64" fillId="0" borderId="24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8" fontId="64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8" fontId="64" fillId="0" borderId="2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8" fontId="64" fillId="0" borderId="22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8" fontId="64" fillId="0" borderId="3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8" fontId="64" fillId="0" borderId="23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2" fillId="8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4" fillId="0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5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6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32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3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1" fillId="0" borderId="7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0" fontId="6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7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78" fillId="8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246" fontId="78" fillId="8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3" fontId="79" fillId="8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7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239" fontId="32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59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8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78" fillId="8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9" fontId="78" fillId="8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78" fillId="8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6" fontId="3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8" fontId="32" fillId="0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238" fontId="81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32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4" fillId="0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239" fontId="74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7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7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5" fontId="78" fillId="8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9" fontId="78" fillId="8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6" fontId="78" fillId="8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7" fontId="78" fillId="8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8" fillId="8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3" fontId="8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3" fontId="78" fillId="8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0" fillId="0" borderId="7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241" fontId="3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4" fillId="0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241" fontId="32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78" fillId="8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7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37" fontId="3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9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8" fontId="78" fillId="8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8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3" fillId="0" borderId="9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247" fontId="78" fillId="8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32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94" fontId="78" fillId="8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80" fillId="8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1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3" fontId="78" fillId="8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8" fontId="32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3" fillId="0" borderId="7" xfId="0" applyFont="true" applyBorder="true" applyAlignment="true" applyProtection="true">
      <alignment horizontal="left" vertical="bottom" textRotation="0" wrapText="false" indent="2" shrinkToFit="false"/>
      <protection locked="true" hidden="false"/>
    </xf>
    <xf numFmtId="194" fontId="78" fillId="8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4" fontId="85" fillId="8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3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7" xfId="0" applyFont="true" applyBorder="true" applyAlignment="true" applyProtection="false">
      <alignment horizontal="left" vertical="bottom" textRotation="0" wrapText="false" indent="2" shrinkToFit="false"/>
      <protection locked="true" hidden="false"/>
    </xf>
    <xf numFmtId="241" fontId="61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86" fillId="8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3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9" fontId="78" fillId="8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5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9" fillId="9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38" fontId="3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32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3" fontId="28" fillId="8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80" fillId="8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8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9" fillId="0" borderId="9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241" fontId="59" fillId="0" borderId="1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59" fillId="0" borderId="1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80" fillId="0" borderId="1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32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4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1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8" fontId="7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3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8" fillId="8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4" fontId="59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39" fontId="32" fillId="0" borderId="8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4" fillId="4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7" fillId="0" borderId="7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230" fontId="78" fillId="8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243" fontId="28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3" fontId="2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8" fontId="59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39" fontId="74" fillId="0" borderId="8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38" fontId="78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39" fontId="78" fillId="8" borderId="8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8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8" fillId="4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8" fillId="8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4" fontId="59" fillId="0" borderId="1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39" fontId="32" fillId="0" borderId="11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2" fillId="0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231" fontId="78" fillId="8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31" fontId="32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25" fontId="78" fillId="8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25" fontId="83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78" fillId="8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50" fontId="32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5" fontId="3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51" fontId="32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38" fontId="78" fillId="8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8" fontId="78" fillId="8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6" fontId="3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8" fontId="78" fillId="8" borderId="8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9" fontId="32" fillId="0" borderId="7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9" fontId="78" fillId="8" borderId="8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8" fillId="8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94" fontId="78" fillId="8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7" xfId="0" applyFont="true" applyBorder="true" applyAlignment="true" applyProtection="false">
      <alignment horizontal="left" vertical="bottom" textRotation="0" wrapText="false" indent="4" shrinkToFit="false"/>
      <protection locked="true" hidden="false"/>
    </xf>
    <xf numFmtId="164" fontId="32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3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52" fontId="78" fillId="8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52" fontId="32" fillId="0" borderId="8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52" fontId="86" fillId="8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52" fontId="61" fillId="0" borderId="8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52" fontId="3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39" fontId="32" fillId="0" borderId="9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4" fontId="78" fillId="8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2" fontId="2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31" fontId="3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38" fontId="78" fillId="8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238" fontId="78" fillId="8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9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26" fontId="78" fillId="8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3" fillId="0" borderId="7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9" fontId="3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9" fontId="5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39" fontId="78" fillId="8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38" fontId="78" fillId="8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3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246" fontId="3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7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3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4" fontId="2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7" fontId="3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3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4" fontId="3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4" fontId="3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3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53" fontId="3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5" fontId="32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41" fontId="87" fillId="0" borderId="27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239" fontId="78" fillId="0" borderId="0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7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25" fontId="3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4" fontId="3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254" fontId="8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4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7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25" fontId="78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94" fontId="32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94" fontId="78" fillId="8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239" fontId="7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32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237" fontId="78" fillId="8" borderId="27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237" fontId="78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225" fontId="32" fillId="1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4" fontId="61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215" fontId="32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253" fontId="32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253" fontId="3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53" fontId="61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15" fontId="78" fillId="8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239" fontId="28" fillId="0" borderId="0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37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39" fontId="2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254" fontId="2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3" fillId="0" borderId="1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3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3" fillId="0" borderId="1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3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250" fontId="2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2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94" fontId="90" fillId="8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241" fontId="28" fillId="0" borderId="0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243" fontId="28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94" fontId="28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94" fontId="28" fillId="0" borderId="28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94" fontId="90" fillId="8" borderId="29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94" fontId="90" fillId="8" borderId="3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249" fontId="28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94" fontId="28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214" fontId="28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94" fontId="90" fillId="8" borderId="28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2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9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9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90" fillId="8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9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9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231" fontId="28" fillId="0" borderId="24" xfId="125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90" fillId="8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90" fillId="8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231" fontId="28" fillId="0" borderId="0" xfId="125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28" fillId="8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2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28" fillId="8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43" fontId="90" fillId="8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9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28" fillId="0" borderId="3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9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73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238" fontId="95" fillId="9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59" fillId="0" borderId="3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95" fontId="2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255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2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9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11" fontId="96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9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39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3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211" fontId="96" fillId="0" borderId="3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6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21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239" fontId="14" fillId="0" borderId="27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2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23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2" xfId="0" applyFont="true" applyBorder="true" applyAlignment="true" applyProtection="false">
      <alignment horizontal="left" vertical="bottom" textRotation="0" wrapText="false" indent="2" shrinkToFit="false"/>
      <protection locked="true" hidden="false"/>
    </xf>
    <xf numFmtId="239" fontId="0" fillId="0" borderId="23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9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241" fontId="96" fillId="11" borderId="27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3" fillId="0" borderId="1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3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211" fontId="8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3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211" fontId="73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211" fontId="2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94" fontId="73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28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94" fontId="28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243" fontId="73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243" fontId="91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94" fontId="7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9" fontId="73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3" fontId="98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11" fontId="2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237" fontId="2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2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28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249" fontId="2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3" fontId="2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38" fontId="82" fillId="0" borderId="0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239" fontId="73" fillId="0" borderId="27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243" fontId="28" fillId="8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243" fontId="91" fillId="8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238" fontId="73" fillId="0" borderId="27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241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9" fillId="0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2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252" fontId="28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52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2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3" fillId="0" borderId="2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3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252" fontId="73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1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3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25" fontId="101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2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1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5" fontId="73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3" fillId="0" borderId="2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8" fillId="0" borderId="2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231" fontId="73" fillId="0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3" fillId="0" borderId="2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3" fillId="0" borderId="2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3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231" fontId="7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34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34" fontId="73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3" fillId="0" borderId="0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231" fontId="73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211" fontId="73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211" fontId="2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234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3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254" fontId="2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3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250" fontId="2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38" fontId="28" fillId="8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2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38" fontId="10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38" fontId="28" fillId="8" borderId="0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238" fontId="28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8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38" fontId="9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34" fontId="10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56" fontId="9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250" fontId="7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34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34" fontId="9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34" fontId="9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7" fontId="9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7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39" fontId="28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8" fontId="9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256" fontId="9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234" fontId="7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3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231" fontId="7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34" fontId="8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04" fillId="8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4" fontId="104" fillId="8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1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4" fontId="101" fillId="0" borderId="2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244" fontId="101" fillId="0" borderId="3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0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4" fontId="10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244" fontId="10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4" fontId="101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0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44" fontId="101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5" fillId="8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238" fontId="14" fillId="8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8" fontId="14" fillId="8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8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211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49" fontId="9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4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3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5" fillId="0" borderId="0" xfId="131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6" fillId="0" borderId="0" xfId="131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39" fontId="60" fillId="0" borderId="19" xfId="1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239" fontId="60" fillId="0" borderId="20" xfId="1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8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7" fillId="0" borderId="21" xfId="131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7" fillId="0" borderId="0" xfId="131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7" fillId="0" borderId="0" xfId="131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7" fillId="0" borderId="0" xfId="131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8" fillId="0" borderId="0" xfId="131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3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3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7" fillId="0" borderId="3" xfId="131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7" fillId="0" borderId="23" xfId="131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9" fillId="0" borderId="0" xfId="131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7" fillId="0" borderId="0" xfId="131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9" fillId="0" borderId="19" xfId="131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9" fillId="0" borderId="20" xfId="131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5" fillId="0" borderId="20" xfId="131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57" fontId="110" fillId="0" borderId="21" xfId="131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57" fontId="111" fillId="0" borderId="0" xfId="131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9" fillId="0" borderId="24" xfId="131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5" fillId="0" borderId="0" xfId="131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57" fontId="110" fillId="0" borderId="25" xfId="131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5" fontId="109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8" fontId="109" fillId="0" borderId="25" xfId="131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1" fontId="109" fillId="0" borderId="0" xfId="131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1" fontId="112" fillId="0" borderId="25" xfId="131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8" fontId="109" fillId="0" borderId="0" xfId="131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5" fillId="0" borderId="24" xfId="131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5" fillId="0" borderId="25" xfId="131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9" fillId="0" borderId="24" xfId="131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9" fillId="0" borderId="0" xfId="131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5" fillId="0" borderId="0" xfId="131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8" fontId="110" fillId="0" borderId="25" xfId="131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1" fontId="109" fillId="0" borderId="0" xfId="131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8" fontId="105" fillId="0" borderId="0" xfId="131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31" fontId="110" fillId="0" borderId="25" xfId="131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5" fillId="0" borderId="22" xfId="131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5" fillId="0" borderId="3" xfId="131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9" fillId="0" borderId="23" xfId="131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57" fontId="109" fillId="0" borderId="0" xfId="131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9" fillId="0" borderId="22" xfId="131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9" fillId="0" borderId="3" xfId="131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57" fontId="109" fillId="0" borderId="23" xfId="131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27" fontId="105" fillId="0" borderId="0" xfId="131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27" fontId="106" fillId="0" borderId="0" xfId="131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27" fontId="57" fillId="0" borderId="0" xfId="131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50" fontId="109" fillId="0" borderId="0" xfId="131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9" fillId="0" borderId="0" xfId="131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50" fontId="109" fillId="0" borderId="0" xfId="131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11" fontId="105" fillId="0" borderId="0" xfId="131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9" fillId="0" borderId="27" xfId="131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9" fillId="0" borderId="27" xfId="131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225" fontId="109" fillId="0" borderId="27" xfId="131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9" fillId="0" borderId="30" xfId="131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5" fillId="0" borderId="34" xfId="131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9" fillId="0" borderId="34" xfId="131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9" fillId="0" borderId="25" xfId="131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5" fillId="0" borderId="34" xfId="131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50" fontId="105" fillId="0" borderId="0" xfId="131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41" fontId="113" fillId="0" borderId="34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37" fontId="105" fillId="0" borderId="0" xfId="131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57" fontId="105" fillId="0" borderId="34" xfId="131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57" fontId="105" fillId="0" borderId="25" xfId="131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3" fontId="10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5" fillId="0" borderId="35" xfId="131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57" fontId="105" fillId="0" borderId="35" xfId="131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57" fontId="105" fillId="0" borderId="23" xfId="131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5" fontId="2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0" fillId="8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38" fontId="90" fillId="8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2" fontId="28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1" fontId="90" fillId="8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211" fontId="90" fillId="8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239" fontId="90" fillId="8" borderId="0" xfId="1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243" fontId="28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85" fontId="2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241" fontId="105" fillId="0" borderId="0" xfId="131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1" fontId="108" fillId="0" borderId="0" xfId="131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1" fontId="113" fillId="0" borderId="0" xfId="131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1" fontId="114" fillId="0" borderId="0" xfId="131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3" fontId="109" fillId="0" borderId="0" xfId="131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8" fillId="0" borderId="0" xfId="131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57" fontId="105" fillId="0" borderId="0" xfId="131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57" fontId="108" fillId="0" borderId="0" xfId="131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57" fontId="105" fillId="0" borderId="0" xfId="131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6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50" fontId="2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231" fontId="116" fillId="0" borderId="0" xfId="125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7" fontId="2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258" fontId="116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11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3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258" fontId="117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211" fontId="9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238" fontId="28" fillId="0" borderId="0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232" fontId="28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28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235" fontId="28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238" fontId="103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238" fontId="90" fillId="0" borderId="0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8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235" fontId="28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238" fontId="103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5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35" fontId="28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03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28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91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91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259" fontId="10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245" fontId="103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5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43" fontId="5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8" fontId="2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231" fontId="57" fillId="0" borderId="0" xfId="125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5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2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8" fillId="4" borderId="0" xfId="1219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1" fontId="57" fillId="0" borderId="0" xfId="125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235" fontId="28" fillId="0" borderId="0" xfId="125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9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19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3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238" fontId="91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243" fontId="90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243" fontId="28" fillId="8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243" fontId="73" fillId="0" borderId="28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243" fontId="73" fillId="0" borderId="29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243" fontId="73" fillId="0" borderId="3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239" fontId="28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243" fontId="28" fillId="0" borderId="28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243" fontId="28" fillId="0" borderId="29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243" fontId="28" fillId="0" borderId="3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243" fontId="57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73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168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?? [0]_94???" xfId="20"/>
    <cellStyle name="?? [0]_94???_demand analysisrevised" xfId="21"/>
    <cellStyle name="?? [0]_??" xfId="22"/>
    <cellStyle name="?? [0]_???" xfId="23"/>
    <cellStyle name="?? [0]_?????" xfId="24"/>
    <cellStyle name="?? [0]_?????_???" xfId="25"/>
    <cellStyle name="?? [0]_?????_???_demand analysisrevised" xfId="26"/>
    <cellStyle name="?? [0]_?????_demand analysisrevised" xfId="27"/>
    <cellStyle name="?? [0]_???_demand analysisrevised" xfId="28"/>
    <cellStyle name="?? [0]_??_demand analysisrevised" xfId="29"/>
    <cellStyle name="?? [0]_dimon" xfId="30"/>
    <cellStyle name="?? [0]_form" xfId="31"/>
    <cellStyle name="?? [0]_form_demand analysisrevised" xfId="32"/>
    <cellStyle name="?? [0]_laroux" xfId="33"/>
    <cellStyle name="?? [0]_laroux_1" xfId="34"/>
    <cellStyle name="?? [0]_laroux_1_demand analysisrevised" xfId="35"/>
    <cellStyle name="?? [0]_laroux_2" xfId="36"/>
    <cellStyle name="?? [0]_laroux_demand analysisrevised" xfId="37"/>
    <cellStyle name="?? [0]_PERSONAL" xfId="38"/>
    <cellStyle name="?? [0]_PERSONAL_1" xfId="39"/>
    <cellStyle name="?? [0]_PERSONAL_1_demand analysisrevised" xfId="40"/>
    <cellStyle name="?? [0]_PERSONAL_2" xfId="41"/>
    <cellStyle name="?? [0]_PERSONAL_2_demand analysisrevised" xfId="42"/>
    <cellStyle name="?? [0]_PERSONAL_3" xfId="43"/>
    <cellStyle name="?? [0]_PERSONAL_demand analysisrevised" xfId="44"/>
    <cellStyle name="?? [0]_Sheet2" xfId="45"/>
    <cellStyle name="??_94???" xfId="46"/>
    <cellStyle name="??_94???_demand analysisrevised" xfId="47"/>
    <cellStyle name="??_970120" xfId="48"/>
    <cellStyle name="??_97???" xfId="49"/>
    <cellStyle name="??_?.????" xfId="50"/>
    <cellStyle name="??_??" xfId="51"/>
    <cellStyle name="??_???" xfId="52"/>
    <cellStyle name="??_????" xfId="53"/>
    <cellStyle name="??_?????" xfId="54"/>
    <cellStyle name="??_?????_1" xfId="55"/>
    <cellStyle name="??_?????_2" xfId="56"/>
    <cellStyle name="??_?????_???" xfId="57"/>
    <cellStyle name="??_?????_???_demand analysisrevised" xfId="58"/>
    <cellStyle name="??_?????_???_demand analysisrevised_1" xfId="59"/>
    <cellStyle name="??_?????_demand analysisrevised" xfId="60"/>
    <cellStyle name="??_?????_demand analysisrevised_1" xfId="61"/>
    <cellStyle name="??_????_1" xfId="62"/>
    <cellStyle name="??_???_demand analysisrevised" xfId="63"/>
    <cellStyle name="??_???_demand analysisrevised_1" xfId="64"/>
    <cellStyle name="??_??_1" xfId="65"/>
    <cellStyle name="??_??_????" xfId="66"/>
    <cellStyle name="??_??_????_demand analysisrevised" xfId="67"/>
    <cellStyle name="??_??_demand analysisrevised" xfId="68"/>
    <cellStyle name="??_??_demand analysisrevised_1" xfId="69"/>
    <cellStyle name="??_??_demand analysisrevised_2" xfId="70"/>
    <cellStyle name="??_BEBU_GI" xfId="71"/>
    <cellStyle name="??_dimon" xfId="72"/>
    <cellStyle name="??_dimon_demand analysisrevised" xfId="73"/>
    <cellStyle name="??_form" xfId="74"/>
    <cellStyle name="??_form_demand analysisrevised" xfId="75"/>
    <cellStyle name="??_form_demand analysisrevised_1" xfId="76"/>
    <cellStyle name="??_ga_PB" xfId="77"/>
    <cellStyle name="??_laroux" xfId="78"/>
    <cellStyle name="??_laroux_1" xfId="79"/>
    <cellStyle name="??_laroux_1_demand analysisrevised" xfId="80"/>
    <cellStyle name="??_laroux_1_demand analysisrevised_1" xfId="81"/>
    <cellStyle name="??_laroux_2" xfId="82"/>
    <cellStyle name="??_laroux_2_demand analysisrevised" xfId="83"/>
    <cellStyle name="??_laroux_3" xfId="84"/>
    <cellStyle name="??_laroux_4" xfId="85"/>
    <cellStyle name="??_laroux_5" xfId="86"/>
    <cellStyle name="??_laroux_6" xfId="87"/>
    <cellStyle name="??_laroux_7" xfId="88"/>
    <cellStyle name="??_laroux_8" xfId="89"/>
    <cellStyle name="??_laroux_demand analysisrevised" xfId="90"/>
    <cellStyle name="??_laroux_demand analysisrevised_1" xfId="91"/>
    <cellStyle name="??_PERSONAL" xfId="92"/>
    <cellStyle name="??_PERSONAL_1" xfId="93"/>
    <cellStyle name="??_PERSONAL_1_demand analysisrevised" xfId="94"/>
    <cellStyle name="??_PERSONAL_1_demand analysisrevised_1" xfId="95"/>
    <cellStyle name="??_PERSONAL_2" xfId="96"/>
    <cellStyle name="??_PERSONAL_2_demand analysisrevised" xfId="97"/>
    <cellStyle name="??_PERSONAL_2_demand analysisrevised_1" xfId="98"/>
    <cellStyle name="??_PERSONAL_3" xfId="99"/>
    <cellStyle name="??_PERSONAL_3_demand analysisrevised" xfId="100"/>
    <cellStyle name="??_PERSONAL_4" xfId="101"/>
    <cellStyle name="??_PERSONAL_demand analysisrevised" xfId="102"/>
    <cellStyle name="??_PERSONAL_demand analysisrevised_1" xfId="103"/>
    <cellStyle name="??_Query11" xfId="104"/>
    <cellStyle name="??_Sheet1" xfId="105"/>
    <cellStyle name="??_Sheet1 (2)" xfId="106"/>
    <cellStyle name="??_Sheet2" xfId="107"/>
    <cellStyle name="??_Sheet2_demand analysisrevised" xfId="108"/>
    <cellStyle name="Actual Date" xfId="109"/>
    <cellStyle name="Comma [0]_12matrix" xfId="110"/>
    <cellStyle name="Comma [0]_1995" xfId="111"/>
    <cellStyle name="Comma [0]_A" xfId="112"/>
    <cellStyle name="Comma [0]_A_dimon" xfId="113"/>
    <cellStyle name="Comma [0]_A_dimon_1" xfId="114"/>
    <cellStyle name="Comma [0]_ACTUAL" xfId="115"/>
    <cellStyle name="Comma [0]_ACTUAL NA -OBU" xfId="116"/>
    <cellStyle name="Comma [0]_Actual vs." xfId="117"/>
    <cellStyle name="Comma [0]_algasdefault" xfId="118"/>
    <cellStyle name="Comma [0]_Alternative1" xfId="119"/>
    <cellStyle name="Comma [0]_Alternative1_1" xfId="120"/>
    <cellStyle name="Comma [0]_App E" xfId="121"/>
    <cellStyle name="Comma [0]_Apr" xfId="122"/>
    <cellStyle name="Comma [0]_Arapahoe" xfId="123"/>
    <cellStyle name="Comma [0]_Assumptions" xfId="124"/>
    <cellStyle name="Comma [0]_Assumptions_dimon" xfId="125"/>
    <cellStyle name="Comma [0]_Assumptions_summary" xfId="126"/>
    <cellStyle name="Comma [0]_B" xfId="127"/>
    <cellStyle name="Comma [0]_bahiadefault" xfId="128"/>
    <cellStyle name="Comma [0]_Book3" xfId="129"/>
    <cellStyle name="Comma [0]_BOP" xfId="130"/>
    <cellStyle name="Comma [0]_BOPBAL1" xfId="131"/>
    <cellStyle name="Comma [0]_BOPCBU" xfId="132"/>
    <cellStyle name="Comma [0]_BOPCBU (2)" xfId="133"/>
    <cellStyle name="Comma [0]_BOPCBU96" xfId="134"/>
    <cellStyle name="Comma [0]_BSAPPE.XLS" xfId="135"/>
    <cellStyle name="Comma [0]_Calculations" xfId="136"/>
    <cellStyle name="Comma [0]_Calculations (2)" xfId="137"/>
    <cellStyle name="Comma [0]_Calculations II" xfId="138"/>
    <cellStyle name="Comma [0]_Calculations III" xfId="139"/>
    <cellStyle name="Comma [0]_Calculations_1" xfId="140"/>
    <cellStyle name="Comma [0]_CAPEX" xfId="141"/>
    <cellStyle name="Comma [0]_CAPEX94" xfId="142"/>
    <cellStyle name="Comma [0]_CapInt" xfId="143"/>
    <cellStyle name="Comma [0]_Cashflow" xfId="144"/>
    <cellStyle name="Comma [0]_CBU BOX CHART V PLAN" xfId="145"/>
    <cellStyle name="Comma [0]_CCA" xfId="146"/>
    <cellStyle name="Comma [0]_CCOCPX" xfId="147"/>
    <cellStyle name="Comma [0]_CFMODEL" xfId="148"/>
    <cellStyle name="Comma [0]_CFTEST49" xfId="149"/>
    <cellStyle name="Comma [0]_CHANGES.XLS" xfId="150"/>
    <cellStyle name="Comma [0]_Charts" xfId="151"/>
    <cellStyle name="Comma [0]_Comm File" xfId="152"/>
    <cellStyle name="Comma [0]_coperdefault" xfId="153"/>
    <cellStyle name="Comma [0]_Corp method" xfId="154"/>
    <cellStyle name="Comma [0]_CTCUR" xfId="155"/>
    <cellStyle name="Comma [0]_CUMPLTCH" xfId="156"/>
    <cellStyle name="Comma [0]_Curve_Economics" xfId="157"/>
    <cellStyle name="Comma [0]_DEFAULT" xfId="158"/>
    <cellStyle name="Comma [0]_DeskCurves" xfId="159"/>
    <cellStyle name="Comma [0]_dimon" xfId="160"/>
    <cellStyle name="Comma [0]_Dowell C1b" xfId="161"/>
    <cellStyle name="Comma [0]_Dowell-C1a" xfId="162"/>
    <cellStyle name="Comma [0]_E&amp;ONW1" xfId="163"/>
    <cellStyle name="Comma [0]_E&amp;ONW2" xfId="164"/>
    <cellStyle name="Comma [0]_E&amp;OOCPX" xfId="165"/>
    <cellStyle name="Comma [0]_emserdefault" xfId="166"/>
    <cellStyle name="Comma [0]_EVER1" xfId="167"/>
    <cellStyle name="Comma [0]_F&amp;COCPX" xfId="168"/>
    <cellStyle name="Comma [0]_FEBRUARY" xfId="169"/>
    <cellStyle name="Comma [0]_FF" xfId="170"/>
    <cellStyle name="Comma [0]_FP 20 A (1)" xfId="171"/>
    <cellStyle name="Comma [0]_FP 20 A (2)" xfId="172"/>
    <cellStyle name="Comma [0]_FP-20 (App. E)" xfId="173"/>
    <cellStyle name="Comma [0]_FP-20 (App.A) " xfId="174"/>
    <cellStyle name="Comma [0]_FP-20 (App.D)" xfId="175"/>
    <cellStyle name="Comma [0]_FP-20(App.B)" xfId="176"/>
    <cellStyle name="Comma [0]_FP-20(C1) (a)" xfId="177"/>
    <cellStyle name="Comma [0]_FP-20(C1) (a) (2)" xfId="178"/>
    <cellStyle name="Comma [0]_FP-20(C1) (b)" xfId="179"/>
    <cellStyle name="Comma [0]_FP-20(C1) (b) " xfId="180"/>
    <cellStyle name="Comma [0]_FP-20(C1) (b) (2)" xfId="181"/>
    <cellStyle name="Comma [0]_GASDATA1" xfId="182"/>
    <cellStyle name="Comma [0]_GASDATA1 (2)" xfId="183"/>
    <cellStyle name="Comma [0]_GCM" xfId="184"/>
    <cellStyle name="Comma [0]_GenAssum" xfId="185"/>
    <cellStyle name="Comma [0]_GenMod" xfId="186"/>
    <cellStyle name="Comma [0]_GP C1a" xfId="187"/>
    <cellStyle name="Comma [0]_GP C1b" xfId="188"/>
    <cellStyle name="Comma [0]_GP_EI_3" xfId="189"/>
    <cellStyle name="Comma [0]_GQ C1A" xfId="190"/>
    <cellStyle name="Comma [0]_GQ C1B" xfId="191"/>
    <cellStyle name="Comma [0]_H" xfId="192"/>
    <cellStyle name="Comma [0]_Inputs" xfId="193"/>
    <cellStyle name="Comma [0]_Int. Data Table" xfId="194"/>
    <cellStyle name="Comma [0]_IPM C1b" xfId="195"/>
    <cellStyle name="Comma [0]_IPMC1a" xfId="196"/>
    <cellStyle name="Comma [0]_IPP" xfId="197"/>
    <cellStyle name="Comma [0]_IS-Hold" xfId="198"/>
    <cellStyle name="Comma [0]_ITOCPX" xfId="199"/>
    <cellStyle name="Comma [0]_jancf" xfId="200"/>
    <cellStyle name="Comma [0]_JUNMTH55" xfId="201"/>
    <cellStyle name="Comma [0]_JUNMTH57" xfId="202"/>
    <cellStyle name="Comma [0]_JUNYTD55" xfId="203"/>
    <cellStyle name="Comma [0]_JUNYTD57" xfId="204"/>
    <cellStyle name="Comma [0]_laroux" xfId="205"/>
    <cellStyle name="Comma [0]_laroux_1" xfId="206"/>
    <cellStyle name="Comma [0]_laroux_1995" xfId="207"/>
    <cellStyle name="Comma [0]_laroux_1_dimon" xfId="208"/>
    <cellStyle name="Comma [0]_laroux_1_dimon_1" xfId="209"/>
    <cellStyle name="Comma [0]_laroux_1_laroux" xfId="210"/>
    <cellStyle name="Comma [0]_laroux_1_pldt" xfId="211"/>
    <cellStyle name="Comma [0]_laroux_1_PLDT_dimon" xfId="212"/>
    <cellStyle name="Comma [0]_laroux_1_VERA" xfId="213"/>
    <cellStyle name="Comma [0]_laroux_1_VIRUS-EDY" xfId="214"/>
    <cellStyle name="Comma [0]_laroux_2" xfId="215"/>
    <cellStyle name="Comma [0]_laroux_2_dimon" xfId="216"/>
    <cellStyle name="Comma [0]_laroux_2_dimon_1" xfId="217"/>
    <cellStyle name="Comma [0]_laroux_2_dimon_2" xfId="218"/>
    <cellStyle name="Comma [0]_laroux_2_laroux" xfId="219"/>
    <cellStyle name="Comma [0]_laroux_2_laroux_dimon" xfId="220"/>
    <cellStyle name="Comma [0]_laroux_2_pldt" xfId="221"/>
    <cellStyle name="Comma [0]_laroux_2_VERA" xfId="222"/>
    <cellStyle name="Comma [0]_laroux_3" xfId="223"/>
    <cellStyle name="Comma [0]_laroux_3_dimon" xfId="224"/>
    <cellStyle name="Comma [0]_laroux_dimon" xfId="225"/>
    <cellStyle name="Comma [0]_laroux_dimon_1" xfId="226"/>
    <cellStyle name="Comma [0]_laroux_laroux" xfId="227"/>
    <cellStyle name="Comma [0]_laroux_laroux_1" xfId="228"/>
    <cellStyle name="Comma [0]_laroux_laroux_dimon" xfId="229"/>
    <cellStyle name="Comma [0]_laroux_MATERAL2" xfId="230"/>
    <cellStyle name="Comma [0]_laroux_MATERAL2_dimon" xfId="231"/>
    <cellStyle name="Comma [0]_laroux_MATERAL2_laroux" xfId="232"/>
    <cellStyle name="Comma [0]_laroux_MATERAL2_laroux_dimon" xfId="233"/>
    <cellStyle name="Comma [0]_laroux_MATERAL2_pldt" xfId="234"/>
    <cellStyle name="Comma [0]_laroux_MATERAL2_VERA" xfId="235"/>
    <cellStyle name="Comma [0]_laroux_MATERAL2_VIRUS-EDY" xfId="236"/>
    <cellStyle name="Comma [0]_laroux_mud plant bolted" xfId="237"/>
    <cellStyle name="Comma [0]_laroux_mud plant bolted_dimon" xfId="238"/>
    <cellStyle name="Comma [0]_laroux_mud plant bolted_dimon_1" xfId="239"/>
    <cellStyle name="Comma [0]_laroux_pldt" xfId="240"/>
    <cellStyle name="Comma [0]_laroux_VERA" xfId="241"/>
    <cellStyle name="Comma [0]_laroux_VERA_1" xfId="242"/>
    <cellStyle name="Comma [0]_laroux_VIRUS-EDY" xfId="243"/>
    <cellStyle name="Comma [0]_MATERAL2" xfId="244"/>
    <cellStyle name="Comma [0]_MATERAL2_dimon" xfId="245"/>
    <cellStyle name="Comma [0]_MATERAL2_dimon_1" xfId="246"/>
    <cellStyle name="Comma [0]_MKGOCPX" xfId="247"/>
    <cellStyle name="Comma [0]_MOBCPX" xfId="248"/>
    <cellStyle name="Comma [0]_Module1" xfId="249"/>
    <cellStyle name="Comma [0]_mud plant bolted" xfId="250"/>
    <cellStyle name="Comma [0]_mud plant bolted_dimon" xfId="251"/>
    <cellStyle name="Comma [0]_mud plant bolted_laroux" xfId="252"/>
    <cellStyle name="Comma [0]_mud plant bolted_laroux_dimon" xfId="253"/>
    <cellStyle name="Comma [0]_mud plant bolted_pldt" xfId="254"/>
    <cellStyle name="Comma [0]_mud plant bolted_VERA" xfId="255"/>
    <cellStyle name="Comma [0]_mud plant bolted_VIRUS-EDY" xfId="256"/>
    <cellStyle name="Comma [0]_NA WITHOUT GOV'T &amp; PNX" xfId="257"/>
    <cellStyle name="Comma [0]_NAOBU10" xfId="258"/>
    <cellStyle name="Comma [0]_NAT ACCT" xfId="259"/>
    <cellStyle name="Comma [0]_NSACTUAL.XLS" xfId="260"/>
    <cellStyle name="Comma [0]_NX00" xfId="261"/>
    <cellStyle name="Comma [0]_Odner" xfId="262"/>
    <cellStyle name="Comma [0]_Odner (2)" xfId="263"/>
    <cellStyle name="Comma [0]_Odner (3)" xfId="264"/>
    <cellStyle name="Comma [0]_OFFDATA1" xfId="265"/>
    <cellStyle name="Comma [0]_OFFDATA1 (2)" xfId="266"/>
    <cellStyle name="Comma [0]_Operations" xfId="267"/>
    <cellStyle name="Comma [0]_opsmacro" xfId="268"/>
    <cellStyle name="Comma [0]_OSMOCPX" xfId="269"/>
    <cellStyle name="Comma [0]_Other Months" xfId="270"/>
    <cellStyle name="Comma [0]_Outlook" xfId="271"/>
    <cellStyle name="Comma [0]_pbdefault" xfId="272"/>
    <cellStyle name="Comma [0]_percentages" xfId="273"/>
    <cellStyle name="Comma [0]_PERSONAL" xfId="274"/>
    <cellStyle name="Comma [0]_PGMKOCPX" xfId="275"/>
    <cellStyle name="Comma [0]_PGNW1" xfId="276"/>
    <cellStyle name="Comma [0]_PGNW2" xfId="277"/>
    <cellStyle name="Comma [0]_PGNWOCPX" xfId="278"/>
    <cellStyle name="Comma [0]_Pink" xfId="279"/>
    <cellStyle name="Comma [0]_PKDATA1" xfId="280"/>
    <cellStyle name="Comma [0]_PKDATA1 (2)" xfId="281"/>
    <cellStyle name="Comma [0]_Plan" xfId="282"/>
    <cellStyle name="Comma [0]_PLANT" xfId="283"/>
    <cellStyle name="Comma [0]_PLDT" xfId="284"/>
    <cellStyle name="Comma [0]_pldt_1" xfId="285"/>
    <cellStyle name="Comma [0]_PLDT_1_dimon" xfId="286"/>
    <cellStyle name="Comma [0]_pldt_Calculations" xfId="287"/>
    <cellStyle name="Comma [0]_PLDT_dimon" xfId="288"/>
    <cellStyle name="Comma [0]_priccurv" xfId="289"/>
    <cellStyle name="Comma [0]_PriceCurve" xfId="290"/>
    <cellStyle name="Comma [0]_PriceCurve_1" xfId="291"/>
    <cellStyle name="Comma [0]_PROCDS&amp;G" xfId="292"/>
    <cellStyle name="Comma [0]_PROFILE4" xfId="293"/>
    <cellStyle name="Comma [0]_Projects" xfId="294"/>
    <cellStyle name="Comma [0]_Quarter End Months" xfId="295"/>
    <cellStyle name="Comma [0]_r1" xfId="296"/>
    <cellStyle name="Comma [0]_RFI" xfId="297"/>
    <cellStyle name="Comma [0]_RFI_1" xfId="298"/>
    <cellStyle name="Comma [0]_Sales Order" xfId="299"/>
    <cellStyle name="Comma [0]_SATOCPX" xfId="300"/>
    <cellStyle name="Comma [0]_ScreeningModel" xfId="301"/>
    <cellStyle name="Comma [0]_SELECT" xfId="302"/>
    <cellStyle name="Comma [0]_SHEET" xfId="303"/>
    <cellStyle name="Comma [0]_Sheet1" xfId="304"/>
    <cellStyle name="Comma [0]_Sheet1_dimon" xfId="305"/>
    <cellStyle name="Comma [0]_SHENREPT" xfId="306"/>
    <cellStyle name="Comma [0]_Snr. CO" xfId="307"/>
    <cellStyle name="Comma [0]_sprint contr" xfId="308"/>
    <cellStyle name="Comma [0]_Subcont File" xfId="309"/>
    <cellStyle name="Comma [0]_SUMMARY" xfId="310"/>
    <cellStyle name="Comma [0]_Summary Info" xfId="311"/>
    <cellStyle name="Comma [0]_SUMPAGE" xfId="312"/>
    <cellStyle name="Comma [0]_Template" xfId="313"/>
    <cellStyle name="Comma [0]_TMSNW1" xfId="314"/>
    <cellStyle name="Comma [0]_TMSNW2" xfId="315"/>
    <cellStyle name="Comma [0]_TMSOCPX" xfId="316"/>
    <cellStyle name="Comma [0]_TOTAL MTH" xfId="317"/>
    <cellStyle name="Comma [0]_TOTAL YTD" xfId="318"/>
    <cellStyle name="Comma [0]_TRANSDSC.XLS" xfId="319"/>
    <cellStyle name="Comma [0]_TRANSFXA.XLS" xfId="320"/>
    <cellStyle name="Comma [0]_TRANSFXA.XLS_1" xfId="321"/>
    <cellStyle name="Comma [0]_TRANSIME.XLS" xfId="322"/>
    <cellStyle name="Comma [0]_TRANSIME.XLS_TRANSDSC.XLS" xfId="323"/>
    <cellStyle name="Comma [0]_TRANSIME.XLS_TRANSFXA.XLS" xfId="324"/>
    <cellStyle name="Comma [0]_VIRUS-EDY" xfId="325"/>
    <cellStyle name="Comma [0]_White" xfId="326"/>
    <cellStyle name="Comma [0]_WO Var. &amp; Tot. Exp." xfId="327"/>
    <cellStyle name="Comma [0]_WSP" xfId="328"/>
    <cellStyle name="Comma [0]_yrcao" xfId="329"/>
    <cellStyle name="Comma [0]_YREND55" xfId="330"/>
    <cellStyle name="Comma [0]_YREND57" xfId="331"/>
    <cellStyle name="Comma [0]_YTDCUR" xfId="332"/>
    <cellStyle name="Comma_12matrix" xfId="333"/>
    <cellStyle name="Comma_1995" xfId="334"/>
    <cellStyle name="Comma_A" xfId="335"/>
    <cellStyle name="Comma_A_dimon" xfId="336"/>
    <cellStyle name="Comma_A_dimon_1" xfId="337"/>
    <cellStyle name="Comma_ACTUAL" xfId="338"/>
    <cellStyle name="Comma_ACTUAL NA -OBU" xfId="339"/>
    <cellStyle name="Comma_Actual vs." xfId="340"/>
    <cellStyle name="Comma_algasdefault" xfId="341"/>
    <cellStyle name="Comma_algasdefault_1" xfId="342"/>
    <cellStyle name="Comma_Alternative1" xfId="343"/>
    <cellStyle name="Comma_Alternative1_1" xfId="344"/>
    <cellStyle name="Comma_App E" xfId="345"/>
    <cellStyle name="Comma_Apr" xfId="346"/>
    <cellStyle name="Comma_Arapahoe" xfId="347"/>
    <cellStyle name="Comma_Assumptions" xfId="348"/>
    <cellStyle name="Comma_Assumptions_dimon" xfId="349"/>
    <cellStyle name="Comma_Assumptions_summary" xfId="350"/>
    <cellStyle name="Comma_B" xfId="351"/>
    <cellStyle name="Comma_bahiadefault" xfId="352"/>
    <cellStyle name="Comma_bahiadefault_1" xfId="353"/>
    <cellStyle name="Comma_Book3" xfId="354"/>
    <cellStyle name="Comma_BOP" xfId="355"/>
    <cellStyle name="Comma_BOPBAL1" xfId="356"/>
    <cellStyle name="Comma_BOPCBU" xfId="357"/>
    <cellStyle name="Comma_BOPCBU (2)" xfId="358"/>
    <cellStyle name="Comma_BOPCBU96" xfId="359"/>
    <cellStyle name="Comma_BSAPPE.XLS" xfId="360"/>
    <cellStyle name="Comma_C-Cap intensity" xfId="361"/>
    <cellStyle name="Comma_C-Capex%rev" xfId="362"/>
    <cellStyle name="Comma_C-Line per Staff" xfId="363"/>
    <cellStyle name="Comma_C-lines distribution" xfId="364"/>
    <cellStyle name="Comma_C-Orig PLDT lines" xfId="365"/>
    <cellStyle name="Comma_C-Ret on Rev" xfId="366"/>
    <cellStyle name="Comma_C-ROACE" xfId="367"/>
    <cellStyle name="Comma_Calculations" xfId="368"/>
    <cellStyle name="Comma_Calculations (2)" xfId="369"/>
    <cellStyle name="Comma_Calculations II" xfId="370"/>
    <cellStyle name="Comma_Calculations III" xfId="371"/>
    <cellStyle name="Comma_Calculations_1" xfId="372"/>
    <cellStyle name="Comma_Capex" xfId="373"/>
    <cellStyle name="Comma_Capex per line" xfId="374"/>
    <cellStyle name="Comma_Capex%rev" xfId="375"/>
    <cellStyle name="Comma_CAPEX94" xfId="376"/>
    <cellStyle name="Comma_CAPEX_dimon" xfId="377"/>
    <cellStyle name="Comma_CapInt" xfId="378"/>
    <cellStyle name="Comma_Cashflow" xfId="379"/>
    <cellStyle name="Comma_CBU BOX CHART V PLAN" xfId="380"/>
    <cellStyle name="Comma_CCA" xfId="381"/>
    <cellStyle name="Comma_CCOCPX" xfId="382"/>
    <cellStyle name="Comma_CFMODEL" xfId="383"/>
    <cellStyle name="Comma_CFMODEL_summary" xfId="384"/>
    <cellStyle name="Comma_CFtest3" xfId="385"/>
    <cellStyle name="Comma_CFTEST49" xfId="386"/>
    <cellStyle name="Comma_CHANGES.XLS" xfId="387"/>
    <cellStyle name="Comma_Charts" xfId="388"/>
    <cellStyle name="Comma_Cht-Capex per line" xfId="389"/>
    <cellStyle name="Comma_Cht-Cum Real Opr Cf" xfId="390"/>
    <cellStyle name="Comma_Cht-Dep%Rev" xfId="391"/>
    <cellStyle name="Comma_Cht-Real Opr Cf" xfId="392"/>
    <cellStyle name="Comma_Cht-Rev dist" xfId="393"/>
    <cellStyle name="Comma_Cht-Rev p line" xfId="394"/>
    <cellStyle name="Comma_Cht-Rev per Staff" xfId="395"/>
    <cellStyle name="Comma_Cht-Staff cost%revenue" xfId="396"/>
    <cellStyle name="Comma_Comm File" xfId="397"/>
    <cellStyle name="Comma_coperdefault" xfId="398"/>
    <cellStyle name="Comma_coperdefault_1" xfId="399"/>
    <cellStyle name="Comma_Corp method" xfId="400"/>
    <cellStyle name="Comma_CROCF" xfId="401"/>
    <cellStyle name="Comma_CTCUR" xfId="402"/>
    <cellStyle name="Comma_Cum Real Opr Cf" xfId="403"/>
    <cellStyle name="Comma_CUMPLTCH" xfId="404"/>
    <cellStyle name="Comma_Curve_Economics" xfId="405"/>
    <cellStyle name="Comma_DEFAULT" xfId="406"/>
    <cellStyle name="Comma_Demand Fcst." xfId="407"/>
    <cellStyle name="Comma_Dep%Rev" xfId="408"/>
    <cellStyle name="Comma_DeskCurves" xfId="409"/>
    <cellStyle name="Comma_dimon" xfId="410"/>
    <cellStyle name="Comma_dimon_1" xfId="411"/>
    <cellStyle name="Comma_Dowell C1b" xfId="412"/>
    <cellStyle name="Comma_Dowell-C1a" xfId="413"/>
    <cellStyle name="Comma_E&amp;ONW1" xfId="414"/>
    <cellStyle name="Comma_E&amp;ONW2" xfId="415"/>
    <cellStyle name="Comma_E&amp;OOCPX" xfId="416"/>
    <cellStyle name="Comma_emserdefault" xfId="417"/>
    <cellStyle name="Comma_emserdefault_1" xfId="418"/>
    <cellStyle name="Comma_EPS" xfId="419"/>
    <cellStyle name="Comma_EVER1" xfId="420"/>
    <cellStyle name="Comma_F&amp;COCPX" xfId="421"/>
    <cellStyle name="Comma_FEBRUARY" xfId="422"/>
    <cellStyle name="Comma_FF" xfId="423"/>
    <cellStyle name="Comma_FP 20 A (1)" xfId="424"/>
    <cellStyle name="Comma_FP 20 A (2)" xfId="425"/>
    <cellStyle name="Comma_FP-20 (App. E)" xfId="426"/>
    <cellStyle name="Comma_FP-20 (App.A) " xfId="427"/>
    <cellStyle name="Comma_FP-20 (App.D)" xfId="428"/>
    <cellStyle name="Comma_FP-20(App.B)" xfId="429"/>
    <cellStyle name="Comma_FP-20(C1) (a)" xfId="430"/>
    <cellStyle name="Comma_FP-20(C1) (a) (2)" xfId="431"/>
    <cellStyle name="Comma_FP-20(C1) (b)" xfId="432"/>
    <cellStyle name="Comma_FP-20(C1) (b) " xfId="433"/>
    <cellStyle name="Comma_FP-20(C1) (b) (2)" xfId="434"/>
    <cellStyle name="Comma_GASDATA1" xfId="435"/>
    <cellStyle name="Comma_GASDATA1 (2)" xfId="436"/>
    <cellStyle name="Comma_GASDATA1_1" xfId="437"/>
    <cellStyle name="Comma_GCM" xfId="438"/>
    <cellStyle name="Comma_GenAssum" xfId="439"/>
    <cellStyle name="Comma_GenMod" xfId="440"/>
    <cellStyle name="Comma_GP C1a" xfId="441"/>
    <cellStyle name="Comma_GP C1b" xfId="442"/>
    <cellStyle name="Comma_GP_EI_3" xfId="443"/>
    <cellStyle name="Comma_GQ C1A" xfId="444"/>
    <cellStyle name="Comma_GQ C1B" xfId="445"/>
    <cellStyle name="Comma_H" xfId="446"/>
    <cellStyle name="Comma_Inputs" xfId="447"/>
    <cellStyle name="Comma_Int. Data Table" xfId="448"/>
    <cellStyle name="Comma_IPM C1b" xfId="449"/>
    <cellStyle name="Comma_IPMC1a" xfId="450"/>
    <cellStyle name="Comma_IPP" xfId="451"/>
    <cellStyle name="Comma_IRR" xfId="452"/>
    <cellStyle name="Comma_IS-Hold" xfId="453"/>
    <cellStyle name="Comma_ITOCPX" xfId="454"/>
    <cellStyle name="Comma_jancf" xfId="455"/>
    <cellStyle name="Comma_JUNMTH55" xfId="456"/>
    <cellStyle name="Comma_JUNMTH57" xfId="457"/>
    <cellStyle name="Comma_JUNYTD55" xfId="458"/>
    <cellStyle name="Comma_JUNYTD57" xfId="459"/>
    <cellStyle name="Comma_laroux" xfId="460"/>
    <cellStyle name="Comma_laroux_1" xfId="461"/>
    <cellStyle name="Comma_laroux_1995" xfId="462"/>
    <cellStyle name="Comma_laroux_1_dimon" xfId="463"/>
    <cellStyle name="Comma_laroux_1_dimon_1" xfId="464"/>
    <cellStyle name="Comma_laroux_1_laroux" xfId="465"/>
    <cellStyle name="Comma_laroux_1_pldt" xfId="466"/>
    <cellStyle name="Comma_laroux_1_pldt_1" xfId="467"/>
    <cellStyle name="Comma_laroux_1_PLDT_dimon" xfId="468"/>
    <cellStyle name="Comma_laroux_1_VERA" xfId="469"/>
    <cellStyle name="Comma_laroux_1_VERA_1" xfId="470"/>
    <cellStyle name="Comma_laroux_1_VIRUS-EDY" xfId="471"/>
    <cellStyle name="Comma_laroux_2" xfId="472"/>
    <cellStyle name="Comma_laroux_2_dimon" xfId="473"/>
    <cellStyle name="Comma_laroux_2_dimon_1" xfId="474"/>
    <cellStyle name="Comma_laroux_2_dimon_2" xfId="475"/>
    <cellStyle name="Comma_laroux_2_laroux" xfId="476"/>
    <cellStyle name="Comma_laroux_2_laroux_dimon" xfId="477"/>
    <cellStyle name="Comma_laroux_2_pldt" xfId="478"/>
    <cellStyle name="Comma_laroux_2_pldt_1" xfId="479"/>
    <cellStyle name="Comma_laroux_2_PLDT_dimon" xfId="480"/>
    <cellStyle name="Comma_laroux_2_VERA" xfId="481"/>
    <cellStyle name="Comma_laroux_2_VERA_1" xfId="482"/>
    <cellStyle name="Comma_laroux_3" xfId="483"/>
    <cellStyle name="Comma_laroux_3_dimon" xfId="484"/>
    <cellStyle name="Comma_laroux_3_dimon_1" xfId="485"/>
    <cellStyle name="Comma_laroux_3_dimon_2" xfId="486"/>
    <cellStyle name="Comma_laroux_dimon" xfId="487"/>
    <cellStyle name="Comma_laroux_dimon_1" xfId="488"/>
    <cellStyle name="Comma_laroux_laroux" xfId="489"/>
    <cellStyle name="Comma_laroux_laroux_1" xfId="490"/>
    <cellStyle name="Comma_laroux_laroux_dimon" xfId="491"/>
    <cellStyle name="Comma_laroux_pldt" xfId="492"/>
    <cellStyle name="Comma_laroux_pldt_1" xfId="493"/>
    <cellStyle name="Comma_laroux_VERA" xfId="494"/>
    <cellStyle name="Comma_laroux_VERA_1" xfId="495"/>
    <cellStyle name="Comma_laroux_VIRUS-EDY" xfId="496"/>
    <cellStyle name="Comma_Line Inst." xfId="497"/>
    <cellStyle name="Comma_MATERAL2" xfId="498"/>
    <cellStyle name="Comma_MATERAL2_dimon" xfId="499"/>
    <cellStyle name="Comma_MATERAL2_dimon_1" xfId="500"/>
    <cellStyle name="Comma_MKGOCPX" xfId="501"/>
    <cellStyle name="Comma_Mkt Shr" xfId="502"/>
    <cellStyle name="Comma_MOBCPX" xfId="503"/>
    <cellStyle name="Comma_Module1" xfId="504"/>
    <cellStyle name="Comma_mud plant bolted" xfId="505"/>
    <cellStyle name="Comma_NA WITHOUT GOV'T &amp; PNX" xfId="506"/>
    <cellStyle name="Comma_NAOBU10" xfId="507"/>
    <cellStyle name="Comma_NAT ACCT" xfId="508"/>
    <cellStyle name="Comma_NCR-C&amp;W Val" xfId="509"/>
    <cellStyle name="Comma_NCR-Cap intensity" xfId="510"/>
    <cellStyle name="Comma_NCR-Line per Staff" xfId="511"/>
    <cellStyle name="Comma_NCR-Rev dist" xfId="512"/>
    <cellStyle name="Comma_NSACTUAL.XLS" xfId="513"/>
    <cellStyle name="Comma_NX00" xfId="514"/>
    <cellStyle name="Comma_Odner" xfId="515"/>
    <cellStyle name="Comma_Odner (2)" xfId="516"/>
    <cellStyle name="Comma_Odner (3)" xfId="517"/>
    <cellStyle name="Comma_OFFDATA1" xfId="518"/>
    <cellStyle name="Comma_OFFDATA1 (2)" xfId="519"/>
    <cellStyle name="Comma_OFFDATA1_1" xfId="520"/>
    <cellStyle name="Comma_Op Cost Break" xfId="521"/>
    <cellStyle name="Comma_Operations" xfId="522"/>
    <cellStyle name="Comma_opsmacro" xfId="523"/>
    <cellStyle name="Comma_OSMOCPX" xfId="524"/>
    <cellStyle name="Comma_Other Months" xfId="525"/>
    <cellStyle name="Comma_Outlook" xfId="526"/>
    <cellStyle name="Comma_pbdefault" xfId="527"/>
    <cellStyle name="Comma_pbdefault_1" xfId="528"/>
    <cellStyle name="Comma_percentages" xfId="529"/>
    <cellStyle name="Comma_PERSONAL" xfId="530"/>
    <cellStyle name="Comma_PGMKOCPX" xfId="531"/>
    <cellStyle name="Comma_PGNW1" xfId="532"/>
    <cellStyle name="Comma_PGNW2" xfId="533"/>
    <cellStyle name="Comma_PGNWOCPX" xfId="534"/>
    <cellStyle name="Comma_Pink" xfId="535"/>
    <cellStyle name="Comma_PKDATA1" xfId="536"/>
    <cellStyle name="Comma_PKDATA1 (2)" xfId="537"/>
    <cellStyle name="Comma_PKDATA1_1" xfId="538"/>
    <cellStyle name="Comma_Plan" xfId="539"/>
    <cellStyle name="Comma_PLANT" xfId="540"/>
    <cellStyle name="Comma_PLDT" xfId="541"/>
    <cellStyle name="Comma_pldt_1" xfId="542"/>
    <cellStyle name="Comma_PLDT_1_dimon" xfId="543"/>
    <cellStyle name="Comma_pldt_2" xfId="544"/>
    <cellStyle name="Comma_pldt_Calculations" xfId="545"/>
    <cellStyle name="Comma_PLDT_dimon" xfId="546"/>
    <cellStyle name="Comma_priccurv" xfId="547"/>
    <cellStyle name="Comma_PriceCurve" xfId="548"/>
    <cellStyle name="Comma_PriceCurve_1" xfId="549"/>
    <cellStyle name="Comma_PROCDS&amp;G" xfId="550"/>
    <cellStyle name="Comma_PROFILE4" xfId="551"/>
    <cellStyle name="Comma_Projects" xfId="552"/>
    <cellStyle name="Comma_Quarter End Months" xfId="553"/>
    <cellStyle name="Comma_r1" xfId="554"/>
    <cellStyle name="Comma_Real Opr Cf" xfId="555"/>
    <cellStyle name="Comma_Real Rev per Staff (1)" xfId="556"/>
    <cellStyle name="Comma_Real Rev per Staff (2)" xfId="557"/>
    <cellStyle name="Comma_Region 2-C&amp;W" xfId="558"/>
    <cellStyle name="Comma_Return on Rev" xfId="559"/>
    <cellStyle name="Comma_Rev p line" xfId="560"/>
    <cellStyle name="Comma_RFI" xfId="561"/>
    <cellStyle name="Comma_RFI_1" xfId="562"/>
    <cellStyle name="Comma_ROACE" xfId="563"/>
    <cellStyle name="Comma_ROCF (Tot)" xfId="564"/>
    <cellStyle name="Comma_Sales Order" xfId="565"/>
    <cellStyle name="Comma_Salton Sea 4" xfId="566"/>
    <cellStyle name="Comma_SATOCPX" xfId="567"/>
    <cellStyle name="Comma_ScreeningModel" xfId="568"/>
    <cellStyle name="Comma_SELECT" xfId="569"/>
    <cellStyle name="Comma_SHEET" xfId="570"/>
    <cellStyle name="Comma_Sheet1" xfId="571"/>
    <cellStyle name="Comma_Sheet1_dimon" xfId="572"/>
    <cellStyle name="Comma_SHENREPT" xfId="573"/>
    <cellStyle name="Comma_Snr. CO" xfId="574"/>
    <cellStyle name="Comma_SPC99-03" xfId="575"/>
    <cellStyle name="Comma_sprint contr" xfId="576"/>
    <cellStyle name="Comma_Staff cost%rev" xfId="577"/>
    <cellStyle name="Comma_Subcont File" xfId="578"/>
    <cellStyle name="Comma_SUMMARY" xfId="579"/>
    <cellStyle name="Comma_Summary Info" xfId="580"/>
    <cellStyle name="Comma_SUMPAGE" xfId="581"/>
    <cellStyle name="Comma_Template" xfId="582"/>
    <cellStyle name="Comma_TESTDATA" xfId="583"/>
    <cellStyle name="Comma_TMSNW1" xfId="584"/>
    <cellStyle name="Comma_TMSNW2" xfId="585"/>
    <cellStyle name="Comma_TMSOCPX" xfId="586"/>
    <cellStyle name="Comma_TOTAL MTH" xfId="587"/>
    <cellStyle name="Comma_TOTAL YTD" xfId="588"/>
    <cellStyle name="Comma_Total-Rev dist." xfId="589"/>
    <cellStyle name="Comma_TRANSDSC.XLS" xfId="590"/>
    <cellStyle name="Comma_TRANSFXA.XLS" xfId="591"/>
    <cellStyle name="Comma_TRANSFXA.XLS_1" xfId="592"/>
    <cellStyle name="Comma_TRANSIME.XLS" xfId="593"/>
    <cellStyle name="Comma_TRANSIME.XLS_TRANSDSC.XLS" xfId="594"/>
    <cellStyle name="Comma_TRANSIME.XLS_TRANSFXA.XLS" xfId="595"/>
    <cellStyle name="Comma_VIRUS-EDY" xfId="596"/>
    <cellStyle name="Comma_White" xfId="597"/>
    <cellStyle name="Comma_WO Var. &amp; Tot. Exp." xfId="598"/>
    <cellStyle name="Comma_WSP" xfId="599"/>
    <cellStyle name="Comma_yrcao" xfId="600"/>
    <cellStyle name="Comma_YREND55" xfId="601"/>
    <cellStyle name="Comma_YREND57" xfId="602"/>
    <cellStyle name="Comma_YTDCUR" xfId="603"/>
    <cellStyle name="Comma_Yuma CE Strategic" xfId="604"/>
    <cellStyle name="Currency [0]_12matrix" xfId="605"/>
    <cellStyle name="Currency [0]_1995" xfId="606"/>
    <cellStyle name="Currency [0]_A" xfId="607"/>
    <cellStyle name="Currency [0]_A_dimon" xfId="608"/>
    <cellStyle name="Currency [0]_A_dimon_1" xfId="609"/>
    <cellStyle name="Currency [0]_ACTUAL" xfId="610"/>
    <cellStyle name="Currency [0]_ACTUAL NA -OBU" xfId="611"/>
    <cellStyle name="Currency [0]_Actual vs." xfId="612"/>
    <cellStyle name="Currency [0]_algasdefault" xfId="613"/>
    <cellStyle name="Currency [0]_Alternative1" xfId="614"/>
    <cellStyle name="Currency [0]_Alternative1_1" xfId="615"/>
    <cellStyle name="Currency [0]_App E" xfId="616"/>
    <cellStyle name="Currency [0]_Apr" xfId="617"/>
    <cellStyle name="Currency [0]_Arapahoe" xfId="618"/>
    <cellStyle name="Currency [0]_Assumptions" xfId="619"/>
    <cellStyle name="Currency [0]_Assumptions_dimon" xfId="620"/>
    <cellStyle name="Currency [0]_Assumptions_summary" xfId="621"/>
    <cellStyle name="Currency [0]_B" xfId="622"/>
    <cellStyle name="Currency [0]_bahiadefault" xfId="623"/>
    <cellStyle name="Currency [0]_Book3" xfId="624"/>
    <cellStyle name="Currency [0]_BOP" xfId="625"/>
    <cellStyle name="Currency [0]_BOPBAL1" xfId="626"/>
    <cellStyle name="Currency [0]_BOPCBU" xfId="627"/>
    <cellStyle name="Currency [0]_BOPCBU (2)" xfId="628"/>
    <cellStyle name="Currency [0]_BOPCBU96" xfId="629"/>
    <cellStyle name="Currency [0]_BSAPPE.XLS" xfId="630"/>
    <cellStyle name="Currency [0]_Calculations" xfId="631"/>
    <cellStyle name="Currency [0]_Calculations (2)" xfId="632"/>
    <cellStyle name="Currency [0]_Calculations II" xfId="633"/>
    <cellStyle name="Currency [0]_Calculations III" xfId="634"/>
    <cellStyle name="Currency [0]_Calculations_1" xfId="635"/>
    <cellStyle name="Currency [0]_CAPEX" xfId="636"/>
    <cellStyle name="Currency [0]_CAPEX94" xfId="637"/>
    <cellStyle name="Currency [0]_CapInt" xfId="638"/>
    <cellStyle name="Currency [0]_Cardig GHS" xfId="639"/>
    <cellStyle name="Currency [0]_Cash Flows" xfId="640"/>
    <cellStyle name="Currency [0]_Cashflow" xfId="641"/>
    <cellStyle name="Currency [0]_CBU BOX CHART V PLAN" xfId="642"/>
    <cellStyle name="Currency [0]_CCA" xfId="643"/>
    <cellStyle name="Currency [0]_CCOCPX" xfId="644"/>
    <cellStyle name="Currency [0]_CFMODEL" xfId="645"/>
    <cellStyle name="Currency [0]_CFTEST49" xfId="646"/>
    <cellStyle name="Currency [0]_CHANGES.XLS" xfId="647"/>
    <cellStyle name="Currency [0]_Charts" xfId="648"/>
    <cellStyle name="Currency [0]_Comm File" xfId="649"/>
    <cellStyle name="Currency [0]_coperdefault" xfId="650"/>
    <cellStyle name="Currency [0]_Corp method" xfId="651"/>
    <cellStyle name="Currency [0]_Cost Code" xfId="652"/>
    <cellStyle name="Currency [0]_CTCUR" xfId="653"/>
    <cellStyle name="Currency [0]_CUMPLTCH" xfId="654"/>
    <cellStyle name="Currency [0]_Curve_Economics" xfId="655"/>
    <cellStyle name="Currency [0]_DEFAULT" xfId="656"/>
    <cellStyle name="Currency [0]_DeskCurves" xfId="657"/>
    <cellStyle name="Currency [0]_dimon" xfId="658"/>
    <cellStyle name="Currency [0]_dimon_1" xfId="659"/>
    <cellStyle name="Currency [0]_dimon_2" xfId="660"/>
    <cellStyle name="Currency [0]_Dowell C1b" xfId="661"/>
    <cellStyle name="Currency [0]_Dowell-C1a" xfId="662"/>
    <cellStyle name="Currency [0]_E&amp;ONW1" xfId="663"/>
    <cellStyle name="Currency [0]_E&amp;ONW2" xfId="664"/>
    <cellStyle name="Currency [0]_E&amp;OOCPX" xfId="665"/>
    <cellStyle name="Currency [0]_emserdefault" xfId="666"/>
    <cellStyle name="Currency [0]_EVER1" xfId="667"/>
    <cellStyle name="Currency [0]_F&amp;COCPX" xfId="668"/>
    <cellStyle name="Currency [0]_FEBRUARY" xfId="669"/>
    <cellStyle name="Currency [0]_FF" xfId="670"/>
    <cellStyle name="Currency [0]_FP 20 A (1)" xfId="671"/>
    <cellStyle name="Currency [0]_FP 20 A (2)" xfId="672"/>
    <cellStyle name="Currency [0]_FP-20 (App. E)" xfId="673"/>
    <cellStyle name="Currency [0]_FP-20 (App.A) " xfId="674"/>
    <cellStyle name="Currency [0]_FP-20 (App.D)" xfId="675"/>
    <cellStyle name="Currency [0]_FP-20(App.B)" xfId="676"/>
    <cellStyle name="Currency [0]_FP-20(C1) (a)" xfId="677"/>
    <cellStyle name="Currency [0]_FP-20(C1) (a) (2)" xfId="678"/>
    <cellStyle name="Currency [0]_FP-20(C1) (b)" xfId="679"/>
    <cellStyle name="Currency [0]_FP-20(C1) (b) " xfId="680"/>
    <cellStyle name="Currency [0]_FP-20(C1) (b) (2)" xfId="681"/>
    <cellStyle name="Currency [0]_GASDATA1" xfId="682"/>
    <cellStyle name="Currency [0]_GASDATA1 (2)" xfId="683"/>
    <cellStyle name="Currency [0]_GCM" xfId="684"/>
    <cellStyle name="Currency [0]_GenAssum" xfId="685"/>
    <cellStyle name="Currency [0]_GenMod" xfId="686"/>
    <cellStyle name="Currency [0]_GP C1a" xfId="687"/>
    <cellStyle name="Currency [0]_GP C1b" xfId="688"/>
    <cellStyle name="Currency [0]_GP_EI_3" xfId="689"/>
    <cellStyle name="Currency [0]_GQ C1A" xfId="690"/>
    <cellStyle name="Currency [0]_GQ C1B" xfId="691"/>
    <cellStyle name="Currency [0]_H" xfId="692"/>
    <cellStyle name="Currency [0]_Inputs" xfId="693"/>
    <cellStyle name="Currency [0]_Int. Data Table" xfId="694"/>
    <cellStyle name="Currency [0]_IPM C1b" xfId="695"/>
    <cellStyle name="Currency [0]_IPMC1a" xfId="696"/>
    <cellStyle name="Currency [0]_IPP" xfId="697"/>
    <cellStyle name="Currency [0]_IS-Hold" xfId="698"/>
    <cellStyle name="Currency [0]_ITOCPX" xfId="699"/>
    <cellStyle name="Currency [0]_jancf" xfId="700"/>
    <cellStyle name="Currency [0]_JUNMTH55" xfId="701"/>
    <cellStyle name="Currency [0]_JUNMTH57" xfId="702"/>
    <cellStyle name="Currency [0]_JUNYTD55" xfId="703"/>
    <cellStyle name="Currency [0]_JUNYTD57" xfId="704"/>
    <cellStyle name="Currency [0]_laroux" xfId="705"/>
    <cellStyle name="Currency [0]_laroux_1" xfId="706"/>
    <cellStyle name="Currency [0]_laroux_1995" xfId="707"/>
    <cellStyle name="Currency [0]_laroux_1_dimon" xfId="708"/>
    <cellStyle name="Currency [0]_laroux_1_dimon_1" xfId="709"/>
    <cellStyle name="Currency [0]_laroux_1_dimon_2" xfId="710"/>
    <cellStyle name="Currency [0]_laroux_1_dimon_3" xfId="711"/>
    <cellStyle name="Currency [0]_laroux_1_laroux" xfId="712"/>
    <cellStyle name="Currency [0]_laroux_1_laroux_1" xfId="713"/>
    <cellStyle name="Currency [0]_laroux_1_laroux_dimon" xfId="714"/>
    <cellStyle name="Currency [0]_laroux_1_Locas" xfId="715"/>
    <cellStyle name="Currency [0]_laroux_1_pldt" xfId="716"/>
    <cellStyle name="Currency [0]_laroux_1_PLDT_dimon" xfId="717"/>
    <cellStyle name="Currency [0]_laroux_1_VERA" xfId="718"/>
    <cellStyle name="Currency [0]_laroux_1_VERA_1" xfId="719"/>
    <cellStyle name="Currency [0]_laroux_1_VIRUS-EDY" xfId="720"/>
    <cellStyle name="Currency [0]_laroux_2" xfId="721"/>
    <cellStyle name="Currency [0]_laroux_2_dimon" xfId="722"/>
    <cellStyle name="Currency [0]_laroux_2_dimon_1" xfId="723"/>
    <cellStyle name="Currency [0]_laroux_2_dimon_2" xfId="724"/>
    <cellStyle name="Currency [0]_laroux_2_dimon_3" xfId="725"/>
    <cellStyle name="Currency [0]_laroux_2_laroux" xfId="726"/>
    <cellStyle name="Currency [0]_laroux_2_laroux_dimon" xfId="727"/>
    <cellStyle name="Currency [0]_laroux_2_Locas" xfId="728"/>
    <cellStyle name="Currency [0]_laroux_2_pldt" xfId="729"/>
    <cellStyle name="Currency [0]_laroux_2_PLDT_dimon" xfId="730"/>
    <cellStyle name="Currency [0]_laroux_2_VIRUS-EDY" xfId="731"/>
    <cellStyle name="Currency [0]_laroux_3" xfId="732"/>
    <cellStyle name="Currency [0]_laroux_3_dimon" xfId="733"/>
    <cellStyle name="Currency [0]_laroux_3_dimon_1" xfId="734"/>
    <cellStyle name="Currency [0]_laroux_3_dimon_2" xfId="735"/>
    <cellStyle name="Currency [0]_laroux_3_dimon_3" xfId="736"/>
    <cellStyle name="Currency [0]_laroux_4" xfId="737"/>
    <cellStyle name="Currency [0]_laroux_4_dimon" xfId="738"/>
    <cellStyle name="Currency [0]_laroux_4_dimon_1" xfId="739"/>
    <cellStyle name="Currency [0]_laroux_5" xfId="740"/>
    <cellStyle name="Currency [0]_laroux_6" xfId="741"/>
    <cellStyle name="Currency [0]_laroux_7" xfId="742"/>
    <cellStyle name="Currency [0]_laroux_dimon" xfId="743"/>
    <cellStyle name="Currency [0]_laroux_dimon_1" xfId="744"/>
    <cellStyle name="Currency [0]_laroux_dimon_2" xfId="745"/>
    <cellStyle name="Currency [0]_laroux_dimon_3" xfId="746"/>
    <cellStyle name="Currency [0]_laroux_laroux" xfId="747"/>
    <cellStyle name="Currency [0]_laroux_laroux_1" xfId="748"/>
    <cellStyle name="Currency [0]_laroux_laroux_1_dimon" xfId="749"/>
    <cellStyle name="Currency [0]_laroux_laroux_dimon" xfId="750"/>
    <cellStyle name="Currency [0]_laroux_Locas" xfId="751"/>
    <cellStyle name="Currency [0]_laroux_MATERAL2" xfId="752"/>
    <cellStyle name="Currency [0]_laroux_MATERAL2_dimon" xfId="753"/>
    <cellStyle name="Currency [0]_laroux_MATERAL2_dimon_1" xfId="754"/>
    <cellStyle name="Currency [0]_laroux_MATERAL2_laroux" xfId="755"/>
    <cellStyle name="Currency [0]_laroux_MATERAL2_laroux_dimon" xfId="756"/>
    <cellStyle name="Currency [0]_laroux_MATERAL2_pldt" xfId="757"/>
    <cellStyle name="Currency [0]_laroux_MATERAL2_VERA" xfId="758"/>
    <cellStyle name="Currency [0]_laroux_MATERAL2_VIRUS-EDY" xfId="759"/>
    <cellStyle name="Currency [0]_laroux_mud plant bolted" xfId="760"/>
    <cellStyle name="Currency [0]_laroux_mud plant bolted_dimon" xfId="761"/>
    <cellStyle name="Currency [0]_laroux_mud plant bolted_dimon_1" xfId="762"/>
    <cellStyle name="Currency [0]_laroux_pldt" xfId="763"/>
    <cellStyle name="Currency [0]_laroux_pldt_1" xfId="764"/>
    <cellStyle name="Currency [0]_laroux_VERA" xfId="765"/>
    <cellStyle name="Currency [0]_laroux_VERA_1" xfId="766"/>
    <cellStyle name="Currency [0]_laroux_VIRUS-EDY" xfId="767"/>
    <cellStyle name="Currency [0]_List" xfId="768"/>
    <cellStyle name="Currency [0]_MATERAL2" xfId="769"/>
    <cellStyle name="Currency [0]_MATERAL2_dimon" xfId="770"/>
    <cellStyle name="Currency [0]_MATERAL2_dimon_1" xfId="771"/>
    <cellStyle name="Currency [0]_MKGOCPX" xfId="772"/>
    <cellStyle name="Currency [0]_MOBCPX" xfId="773"/>
    <cellStyle name="Currency [0]_Module1" xfId="774"/>
    <cellStyle name="Currency [0]_mud plant bolted" xfId="775"/>
    <cellStyle name="Currency [0]_mud plant bolted_dimon" xfId="776"/>
    <cellStyle name="Currency [0]_mud plant bolted_dimon_1" xfId="777"/>
    <cellStyle name="Currency [0]_mud plant bolted_laroux" xfId="778"/>
    <cellStyle name="Currency [0]_mud plant bolted_laroux_dimon" xfId="779"/>
    <cellStyle name="Currency [0]_mud plant bolted_pldt" xfId="780"/>
    <cellStyle name="Currency [0]_mud plant bolted_VERA" xfId="781"/>
    <cellStyle name="Currency [0]_mud plant bolted_VIRUS-EDY" xfId="782"/>
    <cellStyle name="Currency [0]_NA WITHOUT GOV'T &amp; PNX" xfId="783"/>
    <cellStyle name="Currency [0]_NAOBU10" xfId="784"/>
    <cellStyle name="Currency [0]_NAT ACCT" xfId="785"/>
    <cellStyle name="Currency [0]_NSACTUAL.XLS" xfId="786"/>
    <cellStyle name="Currency [0]_NX00" xfId="787"/>
    <cellStyle name="Currency [0]_Odner" xfId="788"/>
    <cellStyle name="Currency [0]_Odner (2)" xfId="789"/>
    <cellStyle name="Currency [0]_Odner (3)" xfId="790"/>
    <cellStyle name="Currency [0]_OFFDATA1" xfId="791"/>
    <cellStyle name="Currency [0]_OFFDATA1 (2)" xfId="792"/>
    <cellStyle name="Currency [0]_Operations" xfId="793"/>
    <cellStyle name="Currency [0]_opsmacro" xfId="794"/>
    <cellStyle name="Currency [0]_OSMOCPX" xfId="795"/>
    <cellStyle name="Currency [0]_Other Months" xfId="796"/>
    <cellStyle name="Currency [0]_Outlook" xfId="797"/>
    <cellStyle name="Currency [0]_pbdefault" xfId="798"/>
    <cellStyle name="Currency [0]_percentages" xfId="799"/>
    <cellStyle name="Currency [0]_PERSONAL" xfId="800"/>
    <cellStyle name="Currency [0]_PGMKOCPX" xfId="801"/>
    <cellStyle name="Currency [0]_PGNW1" xfId="802"/>
    <cellStyle name="Currency [0]_PGNW2" xfId="803"/>
    <cellStyle name="Currency [0]_PGNWOCPX" xfId="804"/>
    <cellStyle name="Currency [0]_Pink" xfId="805"/>
    <cellStyle name="Currency [0]_PKDATA1" xfId="806"/>
    <cellStyle name="Currency [0]_PKDATA1 (2)" xfId="807"/>
    <cellStyle name="Currency [0]_Plan" xfId="808"/>
    <cellStyle name="Currency [0]_PLANT" xfId="809"/>
    <cellStyle name="Currency [0]_PLDT" xfId="810"/>
    <cellStyle name="Currency [0]_pldt_1" xfId="811"/>
    <cellStyle name="Currency [0]_PLDT_1_dimon" xfId="812"/>
    <cellStyle name="Currency [0]_pldt_1_dimon_1" xfId="813"/>
    <cellStyle name="Currency [0]_pldt_2" xfId="814"/>
    <cellStyle name="Currency [0]_pldt_Calculations" xfId="815"/>
    <cellStyle name="Currency [0]_PLDT_dimon" xfId="816"/>
    <cellStyle name="Currency [0]_pldt_dimon_1" xfId="817"/>
    <cellStyle name="Currency [0]_priccurv" xfId="818"/>
    <cellStyle name="Currency [0]_PriceCurve" xfId="819"/>
    <cellStyle name="Currency [0]_PriceCurve_1" xfId="820"/>
    <cellStyle name="Currency [0]_PROCDS&amp;G" xfId="821"/>
    <cellStyle name="Currency [0]_PROFILE4" xfId="822"/>
    <cellStyle name="Currency [0]_Projects" xfId="823"/>
    <cellStyle name="Currency [0]_Quarter End Months" xfId="824"/>
    <cellStyle name="Currency [0]_r1" xfId="825"/>
    <cellStyle name="Currency [0]_RFI" xfId="826"/>
    <cellStyle name="Currency [0]_RFI_1" xfId="827"/>
    <cellStyle name="Currency [0]_Sales Order" xfId="828"/>
    <cellStyle name="Currency [0]_SATOCPX" xfId="829"/>
    <cellStyle name="Currency [0]_ScreeningModel" xfId="830"/>
    <cellStyle name="Currency [0]_SELECT" xfId="831"/>
    <cellStyle name="Currency [0]_SHEET" xfId="832"/>
    <cellStyle name="Currency [0]_Sheet1" xfId="833"/>
    <cellStyle name="Currency [0]_Sheet1 (2)" xfId="834"/>
    <cellStyle name="Currency [0]_Sheet1_dimon" xfId="835"/>
    <cellStyle name="Currency [0]_SHENREPT" xfId="836"/>
    <cellStyle name="Currency [0]_Snr. CO" xfId="837"/>
    <cellStyle name="Currency [0]_sprint contr" xfId="838"/>
    <cellStyle name="Currency [0]_Subcont File" xfId="839"/>
    <cellStyle name="Currency [0]_SUMMARY" xfId="840"/>
    <cellStyle name="Currency [0]_Summary Info" xfId="841"/>
    <cellStyle name="Currency [0]_SUMPAGE" xfId="842"/>
    <cellStyle name="Currency [0]_Template" xfId="843"/>
    <cellStyle name="Currency [0]_TMSNW1" xfId="844"/>
    <cellStyle name="Currency [0]_TMSNW2" xfId="845"/>
    <cellStyle name="Currency [0]_TMSOCPX" xfId="846"/>
    <cellStyle name="Currency [0]_TOTAL MTH" xfId="847"/>
    <cellStyle name="Currency [0]_TOTAL YTD" xfId="848"/>
    <cellStyle name="Currency [0]_TRANSDSC.XLS" xfId="849"/>
    <cellStyle name="Currency [0]_TRANSFXA.XLS" xfId="850"/>
    <cellStyle name="Currency [0]_TRANSFXA.XLS_1" xfId="851"/>
    <cellStyle name="Currency [0]_TRANSIME.XLS" xfId="852"/>
    <cellStyle name="Currency [0]_TRANSIME.XLS_TRANSDSC.XLS" xfId="853"/>
    <cellStyle name="Currency [0]_TRANSIME.XLS_TRANSFXA.XLS" xfId="854"/>
    <cellStyle name="Currency [0]_VERA" xfId="855"/>
    <cellStyle name="Currency [0]_VIRUS-EDY" xfId="856"/>
    <cellStyle name="Currency [0]_VIRUS-EDY_1" xfId="857"/>
    <cellStyle name="Currency [0]_White" xfId="858"/>
    <cellStyle name="Currency [0]_WO Var. &amp; Tot. Exp." xfId="859"/>
    <cellStyle name="Currency [0]_WSP" xfId="860"/>
    <cellStyle name="Currency [0]_yrcao" xfId="861"/>
    <cellStyle name="Currency [0]_YREND55" xfId="862"/>
    <cellStyle name="Currency [0]_YREND57" xfId="863"/>
    <cellStyle name="Currency [0]_YTDCUR" xfId="864"/>
    <cellStyle name="Currency_12matrix" xfId="865"/>
    <cellStyle name="Currency_1995" xfId="866"/>
    <cellStyle name="Currency_A" xfId="867"/>
    <cellStyle name="Currency_A_dimon" xfId="868"/>
    <cellStyle name="Currency_A_dimon_1" xfId="869"/>
    <cellStyle name="Currency_ACTUAL" xfId="870"/>
    <cellStyle name="Currency_ACTUAL NA -OBU" xfId="871"/>
    <cellStyle name="Currency_Actual vs." xfId="872"/>
    <cellStyle name="Currency_algasdefault" xfId="873"/>
    <cellStyle name="Currency_algasdefault_1" xfId="874"/>
    <cellStyle name="Currency_Alternative1" xfId="875"/>
    <cellStyle name="Currency_Alternative1_1" xfId="876"/>
    <cellStyle name="Currency_App E" xfId="877"/>
    <cellStyle name="Currency_Apr" xfId="878"/>
    <cellStyle name="Currency_Arapahoe" xfId="879"/>
    <cellStyle name="Currency_Assumptions" xfId="880"/>
    <cellStyle name="Currency_Assumptions_dimon" xfId="881"/>
    <cellStyle name="Currency_Assumptions_summary" xfId="882"/>
    <cellStyle name="Currency_B" xfId="883"/>
    <cellStyle name="Currency_bahiadefault" xfId="884"/>
    <cellStyle name="Currency_bahiadefault_1" xfId="885"/>
    <cellStyle name="Currency_BIGOUT" xfId="886"/>
    <cellStyle name="Currency_Book3" xfId="887"/>
    <cellStyle name="Currency_BOP" xfId="888"/>
    <cellStyle name="Currency_BOPBAL1" xfId="889"/>
    <cellStyle name="Currency_BOPCBU" xfId="890"/>
    <cellStyle name="Currency_BOPCBU (2)" xfId="891"/>
    <cellStyle name="Currency_BOPCBU96" xfId="892"/>
    <cellStyle name="Currency_BSAPPE.XLS" xfId="893"/>
    <cellStyle name="Currency_Calculations" xfId="894"/>
    <cellStyle name="Currency_Calculations (2)" xfId="895"/>
    <cellStyle name="Currency_Calculations II" xfId="896"/>
    <cellStyle name="Currency_Calculations III" xfId="897"/>
    <cellStyle name="Currency_Calculations_1" xfId="898"/>
    <cellStyle name="Currency_CAPEX" xfId="899"/>
    <cellStyle name="Currency_CAPEX94" xfId="900"/>
    <cellStyle name="Currency_CapInt" xfId="901"/>
    <cellStyle name="Currency_Cardig GHS" xfId="902"/>
    <cellStyle name="Currency_Cash Flows" xfId="903"/>
    <cellStyle name="Currency_Cashflow" xfId="904"/>
    <cellStyle name="Currency_CBU BOX CHART V PLAN" xfId="905"/>
    <cellStyle name="Currency_CCA" xfId="906"/>
    <cellStyle name="Currency_CCOCPX" xfId="907"/>
    <cellStyle name="Currency_CFMODEL" xfId="908"/>
    <cellStyle name="Currency_CFtest3" xfId="909"/>
    <cellStyle name="Currency_CFTEST49" xfId="910"/>
    <cellStyle name="Currency_CHANGES.XLS" xfId="911"/>
    <cellStyle name="Currency_Charts" xfId="912"/>
    <cellStyle name="Currency_chase1026" xfId="913"/>
    <cellStyle name="Currency_Comm File" xfId="914"/>
    <cellStyle name="Currency_coperdefault" xfId="915"/>
    <cellStyle name="Currency_coperdefault_1" xfId="916"/>
    <cellStyle name="Currency_Corp method" xfId="917"/>
    <cellStyle name="Currency_Cost Code" xfId="918"/>
    <cellStyle name="Currency_CTCUR" xfId="919"/>
    <cellStyle name="Currency_CUMPLTCH" xfId="920"/>
    <cellStyle name="Currency_Curve_Economics" xfId="921"/>
    <cellStyle name="Currency_DEFAULT" xfId="922"/>
    <cellStyle name="Currency_DeskCurves" xfId="923"/>
    <cellStyle name="Currency_dimon" xfId="924"/>
    <cellStyle name="Currency_dimon_1" xfId="925"/>
    <cellStyle name="Currency_dimon_2" xfId="926"/>
    <cellStyle name="Currency_Dowell C1b" xfId="927"/>
    <cellStyle name="Currency_Dowell-C1a" xfId="928"/>
    <cellStyle name="Currency_E&amp;ONW1" xfId="929"/>
    <cellStyle name="Currency_E&amp;ONW2" xfId="930"/>
    <cellStyle name="Currency_E&amp;OOCPX" xfId="931"/>
    <cellStyle name="Currency_emserdefault" xfId="932"/>
    <cellStyle name="Currency_emserdefault_1" xfId="933"/>
    <cellStyle name="Currency_EVER1" xfId="934"/>
    <cellStyle name="Currency_F&amp;COCPX" xfId="935"/>
    <cellStyle name="Currency_FEBRUARY" xfId="936"/>
    <cellStyle name="Currency_FF" xfId="937"/>
    <cellStyle name="Currency_FP 20 A (1)" xfId="938"/>
    <cellStyle name="Currency_FP 20 A (2)" xfId="939"/>
    <cellStyle name="Currency_FP-20 (App. E)" xfId="940"/>
    <cellStyle name="Currency_FP-20 (App.A) " xfId="941"/>
    <cellStyle name="Currency_FP-20 (App.D)" xfId="942"/>
    <cellStyle name="Currency_FP-20(App.B)" xfId="943"/>
    <cellStyle name="Currency_FP-20(C1) (a)" xfId="944"/>
    <cellStyle name="Currency_FP-20(C1) (a) (2)" xfId="945"/>
    <cellStyle name="Currency_FP-20(C1) (b)" xfId="946"/>
    <cellStyle name="Currency_FP-20(C1) (b) " xfId="947"/>
    <cellStyle name="Currency_FP-20(C1) (b) (2)" xfId="948"/>
    <cellStyle name="Currency_GASDATA1" xfId="949"/>
    <cellStyle name="Currency_GASDATA1 (2)" xfId="950"/>
    <cellStyle name="Currency_GCM" xfId="951"/>
    <cellStyle name="Currency_GenAssum" xfId="952"/>
    <cellStyle name="Currency_GenMod" xfId="953"/>
    <cellStyle name="Currency_GP C1a" xfId="954"/>
    <cellStyle name="Currency_GP C1b" xfId="955"/>
    <cellStyle name="Currency_GP_EI_3" xfId="956"/>
    <cellStyle name="Currency_GQ C1A" xfId="957"/>
    <cellStyle name="Currency_GQ C1B" xfId="958"/>
    <cellStyle name="Currency_H" xfId="959"/>
    <cellStyle name="Currency_Inputs" xfId="960"/>
    <cellStyle name="Currency_Int. Data Table" xfId="961"/>
    <cellStyle name="Currency_IPM C1b" xfId="962"/>
    <cellStyle name="Currency_IPMC1a" xfId="963"/>
    <cellStyle name="Currency_IPP" xfId="964"/>
    <cellStyle name="Currency_IS-Hold" xfId="965"/>
    <cellStyle name="Currency_ITOCPX" xfId="966"/>
    <cellStyle name="Currency_jancf" xfId="967"/>
    <cellStyle name="Currency_JUNMTH55" xfId="968"/>
    <cellStyle name="Currency_JUNMTH57" xfId="969"/>
    <cellStyle name="Currency_JUNYTD55" xfId="970"/>
    <cellStyle name="Currency_JUNYTD57" xfId="971"/>
    <cellStyle name="Currency_laroux" xfId="972"/>
    <cellStyle name="Currency_laroux_1" xfId="973"/>
    <cellStyle name="Currency_laroux_1995" xfId="974"/>
    <cellStyle name="Currency_laroux_1_dimon" xfId="975"/>
    <cellStyle name="Currency_laroux_1_dimon_1" xfId="976"/>
    <cellStyle name="Currency_laroux_1_dimon_2" xfId="977"/>
    <cellStyle name="Currency_laroux_1_dimon_3" xfId="978"/>
    <cellStyle name="Currency_laroux_1_laroux" xfId="979"/>
    <cellStyle name="Currency_laroux_1_laroux_1" xfId="980"/>
    <cellStyle name="Currency_laroux_1_laroux_dimon" xfId="981"/>
    <cellStyle name="Currency_laroux_1_Locas" xfId="982"/>
    <cellStyle name="Currency_laroux_1_pldt" xfId="983"/>
    <cellStyle name="Currency_laroux_1_PLDT_dimon" xfId="984"/>
    <cellStyle name="Currency_laroux_1_VERA" xfId="985"/>
    <cellStyle name="Currency_laroux_1_VERA_1" xfId="986"/>
    <cellStyle name="Currency_laroux_1_VIRUS-EDY" xfId="987"/>
    <cellStyle name="Currency_laroux_2" xfId="988"/>
    <cellStyle name="Currency_laroux_2_dimon" xfId="989"/>
    <cellStyle name="Currency_laroux_2_dimon_1" xfId="990"/>
    <cellStyle name="Currency_laroux_2_dimon_2" xfId="991"/>
    <cellStyle name="Currency_laroux_2_dimon_3" xfId="992"/>
    <cellStyle name="Currency_laroux_2_laroux" xfId="993"/>
    <cellStyle name="Currency_laroux_2_laroux_dimon" xfId="994"/>
    <cellStyle name="Currency_laroux_2_Locas" xfId="995"/>
    <cellStyle name="Currency_laroux_2_pldt" xfId="996"/>
    <cellStyle name="Currency_laroux_2_PLDT_dimon" xfId="997"/>
    <cellStyle name="Currency_laroux_2_VIRUS-EDY" xfId="998"/>
    <cellStyle name="Currency_laroux_3" xfId="999"/>
    <cellStyle name="Currency_laroux_3_dimon" xfId="1000"/>
    <cellStyle name="Currency_laroux_3_dimon_1" xfId="1001"/>
    <cellStyle name="Currency_laroux_3_dimon_2" xfId="1002"/>
    <cellStyle name="Currency_laroux_3_dimon_3" xfId="1003"/>
    <cellStyle name="Currency_laroux_4" xfId="1004"/>
    <cellStyle name="Currency_laroux_4_dimon" xfId="1005"/>
    <cellStyle name="Currency_laroux_4_dimon_1" xfId="1006"/>
    <cellStyle name="Currency_laroux_5" xfId="1007"/>
    <cellStyle name="Currency_laroux_6" xfId="1008"/>
    <cellStyle name="Currency_laroux_7" xfId="1009"/>
    <cellStyle name="Currency_laroux_8" xfId="1010"/>
    <cellStyle name="Currency_laroux_dimon" xfId="1011"/>
    <cellStyle name="Currency_laroux_dimon_1" xfId="1012"/>
    <cellStyle name="Currency_laroux_dimon_2" xfId="1013"/>
    <cellStyle name="Currency_laroux_dimon_3" xfId="1014"/>
    <cellStyle name="Currency_laroux_laroux" xfId="1015"/>
    <cellStyle name="Currency_laroux_laroux_1" xfId="1016"/>
    <cellStyle name="Currency_laroux_laroux_1_dimon" xfId="1017"/>
    <cellStyle name="Currency_laroux_laroux_dimon" xfId="1018"/>
    <cellStyle name="Currency_laroux_Locas" xfId="1019"/>
    <cellStyle name="Currency_laroux_pldt" xfId="1020"/>
    <cellStyle name="Currency_laroux_pldt_1" xfId="1021"/>
    <cellStyle name="Currency_laroux_VERA" xfId="1022"/>
    <cellStyle name="Currency_laroux_VERA_1" xfId="1023"/>
    <cellStyle name="Currency_laroux_VIRUS-EDY" xfId="1024"/>
    <cellStyle name="Currency_List" xfId="1025"/>
    <cellStyle name="Currency_MATERAL2" xfId="1026"/>
    <cellStyle name="Currency_MATERAL2_dimon" xfId="1027"/>
    <cellStyle name="Currency_MATERAL2_dimon_1" xfId="1028"/>
    <cellStyle name="Currency_MKGOCPX" xfId="1029"/>
    <cellStyle name="Currency_MOBCPX" xfId="1030"/>
    <cellStyle name="Currency_Module1" xfId="1031"/>
    <cellStyle name="Currency_mud plant bolted" xfId="1032"/>
    <cellStyle name="Currency_mud plant bolted_dimon" xfId="1033"/>
    <cellStyle name="Currency_mud plant bolted_dimon_1" xfId="1034"/>
    <cellStyle name="Currency_mud plant bolted_PLDT" xfId="1035"/>
    <cellStyle name="Currency_mud plant bolted_VERA" xfId="1036"/>
    <cellStyle name="Currency_mud plant bolted_VERA_1" xfId="1037"/>
    <cellStyle name="Currency_NA WITHOUT GOV'T &amp; PNX" xfId="1038"/>
    <cellStyle name="Currency_NAOBU10" xfId="1039"/>
    <cellStyle name="Currency_NAT ACCT" xfId="1040"/>
    <cellStyle name="Currency_NSACTUAL.XLS" xfId="1041"/>
    <cellStyle name="Currency_NX00" xfId="1042"/>
    <cellStyle name="Currency_Odner" xfId="1043"/>
    <cellStyle name="Currency_Odner (2)" xfId="1044"/>
    <cellStyle name="Currency_Odner (3)" xfId="1045"/>
    <cellStyle name="Currency_OFFDATA1" xfId="1046"/>
    <cellStyle name="Currency_OFFDATA1 (2)" xfId="1047"/>
    <cellStyle name="Currency_Operations" xfId="1048"/>
    <cellStyle name="Currency_opsmacro" xfId="1049"/>
    <cellStyle name="Currency_OSMOCPX" xfId="1050"/>
    <cellStyle name="Currency_Other Months" xfId="1051"/>
    <cellStyle name="Currency_Outlook" xfId="1052"/>
    <cellStyle name="Currency_pbdefault" xfId="1053"/>
    <cellStyle name="Currency_pbdefault_1" xfId="1054"/>
    <cellStyle name="Currency_percentages" xfId="1055"/>
    <cellStyle name="Currency_PERSONAL" xfId="1056"/>
    <cellStyle name="Currency_PGMKOCPX" xfId="1057"/>
    <cellStyle name="Currency_PGNW1" xfId="1058"/>
    <cellStyle name="Currency_PGNW2" xfId="1059"/>
    <cellStyle name="Currency_PGNWOCPX" xfId="1060"/>
    <cellStyle name="Currency_Pink" xfId="1061"/>
    <cellStyle name="Currency_PKDATA1" xfId="1062"/>
    <cellStyle name="Currency_PKDATA1 (2)" xfId="1063"/>
    <cellStyle name="Currency_Plan" xfId="1064"/>
    <cellStyle name="Currency_PLANT" xfId="1065"/>
    <cellStyle name="Currency_PLDT" xfId="1066"/>
    <cellStyle name="Currency_pldt_1" xfId="1067"/>
    <cellStyle name="Currency_PLDT_1_dimon" xfId="1068"/>
    <cellStyle name="Currency_pldt_1_dimon_1" xfId="1069"/>
    <cellStyle name="Currency_pldt_2" xfId="1070"/>
    <cellStyle name="Currency_pldt_Calculations" xfId="1071"/>
    <cellStyle name="Currency_PLDT_dimon" xfId="1072"/>
    <cellStyle name="Currency_pldt_dimon_1" xfId="1073"/>
    <cellStyle name="Currency_priccurv" xfId="1074"/>
    <cellStyle name="Currency_PriceCurve" xfId="1075"/>
    <cellStyle name="Currency_PriceCurve_1" xfId="1076"/>
    <cellStyle name="Currency_PROCDS&amp;G" xfId="1077"/>
    <cellStyle name="Currency_PROFILE4" xfId="1078"/>
    <cellStyle name="Currency_Projects" xfId="1079"/>
    <cellStyle name="Currency_Quarter End Months" xfId="1080"/>
    <cellStyle name="Currency_r1" xfId="1081"/>
    <cellStyle name="Currency_RFI" xfId="1082"/>
    <cellStyle name="Currency_RFI_1" xfId="1083"/>
    <cellStyle name="Currency_Sales Order" xfId="1084"/>
    <cellStyle name="Currency_Salton Sea 4" xfId="1085"/>
    <cellStyle name="Currency_SATOCPX" xfId="1086"/>
    <cellStyle name="Currency_ScreeningModel" xfId="1087"/>
    <cellStyle name="Currency_SELECT" xfId="1088"/>
    <cellStyle name="Currency_SHEET" xfId="1089"/>
    <cellStyle name="Currency_Sheet1" xfId="1090"/>
    <cellStyle name="Currency_Sheet1 (2)" xfId="1091"/>
    <cellStyle name="Currency_Sheet1_dimon" xfId="1092"/>
    <cellStyle name="Currency_SHENREPT" xfId="1093"/>
    <cellStyle name="Currency_Snr. CO" xfId="1094"/>
    <cellStyle name="Currency_sprint contr" xfId="1095"/>
    <cellStyle name="Currency_Subcont File" xfId="1096"/>
    <cellStyle name="Currency_SUMMARY" xfId="1097"/>
    <cellStyle name="Currency_Summary Info" xfId="1098"/>
    <cellStyle name="Currency_SUMPAGE" xfId="1099"/>
    <cellStyle name="Currency_Template" xfId="1100"/>
    <cellStyle name="Currency_TMSNW1" xfId="1101"/>
    <cellStyle name="Currency_TMSNW2" xfId="1102"/>
    <cellStyle name="Currency_TMSOCPX" xfId="1103"/>
    <cellStyle name="Currency_TOTAL MTH" xfId="1104"/>
    <cellStyle name="Currency_TOTAL YTD" xfId="1105"/>
    <cellStyle name="Currency_TRANSDSC.XLS" xfId="1106"/>
    <cellStyle name="Currency_TRANSFXA.XLS" xfId="1107"/>
    <cellStyle name="Currency_TRANSFXA.XLS_1" xfId="1108"/>
    <cellStyle name="Currency_TRANSIME.XLS" xfId="1109"/>
    <cellStyle name="Currency_TRANSIME.XLS_TRANSDSC.XLS" xfId="1110"/>
    <cellStyle name="Currency_TRANSIME.XLS_TRANSFXA.XLS" xfId="1111"/>
    <cellStyle name="Currency_VERA" xfId="1112"/>
    <cellStyle name="Currency_VIRUS-EDY" xfId="1113"/>
    <cellStyle name="Currency_VIRUS-EDY_1" xfId="1114"/>
    <cellStyle name="Currency_White" xfId="1115"/>
    <cellStyle name="Currency_WO Var. &amp; Tot. Exp." xfId="1116"/>
    <cellStyle name="Currency_WSP" xfId="1117"/>
    <cellStyle name="Currency_yrcao" xfId="1118"/>
    <cellStyle name="Currency_YREND55" xfId="1119"/>
    <cellStyle name="Currency_YREND57" xfId="1120"/>
    <cellStyle name="Currency_YTDCUR" xfId="1121"/>
    <cellStyle name="Currency_Yuma CE Strategic" xfId="1122"/>
    <cellStyle name="Date" xfId="1123"/>
    <cellStyle name="Dezimal [0]_Compiling Utility Macros" xfId="1124"/>
    <cellStyle name="Dezimal [0]_FixerSetupDlg" xfId="1125"/>
    <cellStyle name="Dezimal [0]_TemplateInformation" xfId="1126"/>
    <cellStyle name="Dezimal_Compiling Utility Macros" xfId="1127"/>
    <cellStyle name="Dezimal_FixerSetupDlg" xfId="1128"/>
    <cellStyle name="Dezimal_TemplateInformation" xfId="1129"/>
    <cellStyle name="Fixed" xfId="1130"/>
    <cellStyle name="Grey" xfId="1131"/>
    <cellStyle name="HEADER" xfId="1132"/>
    <cellStyle name="Heading 1" xfId="1133"/>
    <cellStyle name="Heading2" xfId="1134"/>
    <cellStyle name="HIGHLIGHT" xfId="1135"/>
    <cellStyle name="Hyperlink_dimon" xfId="1136"/>
    <cellStyle name="Input [yellow]" xfId="1137"/>
    <cellStyle name="no dec" xfId="1138"/>
    <cellStyle name="Normal - Style1" xfId="1139"/>
    <cellStyle name="Normal - Style1_dimon" xfId="1140"/>
    <cellStyle name="Normal_03_06_98 list _ecm deals 030998 excel95" xfId="1141"/>
    <cellStyle name="Normal_12matrix" xfId="1142"/>
    <cellStyle name="Normal_20196" xfId="1143"/>
    <cellStyle name="Normal_4018fin" xfId="1144"/>
    <cellStyle name="Normal_4021fin" xfId="1145"/>
    <cellStyle name="Normal_95CHART" xfId="1146"/>
    <cellStyle name="Normal_A" xfId="1147"/>
    <cellStyle name="Normal_A (2)" xfId="1148"/>
    <cellStyle name="Normal_A_dimon" xfId="1149"/>
    <cellStyle name="Normal_A_dimon_1" xfId="1150"/>
    <cellStyle name="Normal_A_PriceCurve" xfId="1151"/>
    <cellStyle name="Normal_A_VERA" xfId="1152"/>
    <cellStyle name="Normal_ACTUAL" xfId="1153"/>
    <cellStyle name="Normal_ACTUAL NA -OBU" xfId="1154"/>
    <cellStyle name="Normal_Actual vs." xfId="1155"/>
    <cellStyle name="Normal_ACTUAL_1" xfId="1156"/>
    <cellStyle name="Normal_ACTUAL_NA WITHOUT GOV'T &amp; PNX" xfId="1157"/>
    <cellStyle name="Normal_algasdefault" xfId="1158"/>
    <cellStyle name="Normal_algasdefault_1" xfId="1159"/>
    <cellStyle name="Normal_Alternative1" xfId="1160"/>
    <cellStyle name="Normal_Alternative1_1" xfId="1161"/>
    <cellStyle name="Normal_AOPS" xfId="1162"/>
    <cellStyle name="Normal_App E" xfId="1163"/>
    <cellStyle name="Normal_APR" xfId="1164"/>
    <cellStyle name="Normal_APR_laroux" xfId="1165"/>
    <cellStyle name="Normal_Apr_pldt" xfId="1166"/>
    <cellStyle name="Normal_Arapahoe" xfId="1167"/>
    <cellStyle name="Normal_Assumptions" xfId="1168"/>
    <cellStyle name="Normal_Assumptions_dimon" xfId="1169"/>
    <cellStyle name="Normal_Assumptions_summary" xfId="1170"/>
    <cellStyle name="Normal_B" xfId="1171"/>
    <cellStyle name="Normal_bahiadefault" xfId="1172"/>
    <cellStyle name="Normal_bahiadefault_1" xfId="1173"/>
    <cellStyle name="Normal_BIGOUT" xfId="1174"/>
    <cellStyle name="Normal_Book Depr" xfId="1175"/>
    <cellStyle name="Normal_Book3" xfId="1176"/>
    <cellStyle name="Normal_Book3_dimon" xfId="1177"/>
    <cellStyle name="Normal_BOP" xfId="1178"/>
    <cellStyle name="Normal_BOPBAL1" xfId="1179"/>
    <cellStyle name="Normal_BOPCBU" xfId="1180"/>
    <cellStyle name="Normal_BOPCBU (2)" xfId="1181"/>
    <cellStyle name="Normal_BOPCBU96" xfId="1182"/>
    <cellStyle name="Normal_BREPAIR" xfId="1183"/>
    <cellStyle name="Normal_BSAPPE.XLS" xfId="1184"/>
    <cellStyle name="Normal_BUDGET" xfId="1185"/>
    <cellStyle name="Normal_C-Cap intensity" xfId="1186"/>
    <cellStyle name="Normal_C-Capex%rev" xfId="1187"/>
    <cellStyle name="Normal_C-Line per Staff" xfId="1188"/>
    <cellStyle name="Normal_C-lines distribution" xfId="1189"/>
    <cellStyle name="Normal_C-Orig PLDT lines" xfId="1190"/>
    <cellStyle name="Normal_C-Ret on Rev" xfId="1191"/>
    <cellStyle name="Normal_C-ROACE" xfId="1192"/>
    <cellStyle name="Normal_Calculations" xfId="1193"/>
    <cellStyle name="Normal_Calculations (2)" xfId="1194"/>
    <cellStyle name="Normal_Calculations II" xfId="1195"/>
    <cellStyle name="Normal_Calculations II_1" xfId="1196"/>
    <cellStyle name="Normal_Calculations III" xfId="1197"/>
    <cellStyle name="Normal_Calculations_1" xfId="1198"/>
    <cellStyle name="Normal_Calculations_2" xfId="1199"/>
    <cellStyle name="Normal_Capex" xfId="1200"/>
    <cellStyle name="Normal_Capex per line" xfId="1201"/>
    <cellStyle name="Normal_Capex%rev" xfId="1202"/>
    <cellStyle name="Normal_CAPEX2" xfId="1203"/>
    <cellStyle name="Normal_CAPEX94" xfId="1204"/>
    <cellStyle name="Normal_CAPEX_dimon" xfId="1205"/>
    <cellStyle name="Normal_CAPEX_VERA" xfId="1206"/>
    <cellStyle name="Normal_CAPEXPWI.XLS" xfId="1207"/>
    <cellStyle name="Normal_CAPEXPWO.XLS" xfId="1208"/>
    <cellStyle name="Normal_CapInt" xfId="1209"/>
    <cellStyle name="Normal_Cardig GHS" xfId="1210"/>
    <cellStyle name="Normal_Cash Flows" xfId="1211"/>
    <cellStyle name="Normal_Cashflow" xfId="1212"/>
    <cellStyle name="Normal_CBU BOX CHART V PLAN" xfId="1213"/>
    <cellStyle name="Normal_CBU BOX CHART V PLAN_1" xfId="1214"/>
    <cellStyle name="Normal_CCOCPX" xfId="1215"/>
    <cellStyle name="Normal_CEL-C-CO.XLS" xfId="1216"/>
    <cellStyle name="Normal_Certs Q2" xfId="1217"/>
    <cellStyle name="Normal_Certs Q2 (2)" xfId="1218"/>
    <cellStyle name="Normal_cf0402_ndf" xfId="1219"/>
    <cellStyle name="Normal_CFMACROS.XLM" xfId="1220"/>
    <cellStyle name="Normal_CFMODEL" xfId="1221"/>
    <cellStyle name="Normal_CFMODEL.XLS" xfId="1222"/>
    <cellStyle name="Normal_CFTEST49" xfId="1223"/>
    <cellStyle name="Normal_CHANGES.XLS" xfId="1224"/>
    <cellStyle name="Normal_CHANGES.XLS_1" xfId="1225"/>
    <cellStyle name="Normal_chase1026" xfId="1226"/>
    <cellStyle name="Normal_ChgLoan" xfId="1227"/>
    <cellStyle name="Normal_Cht-Capex per line" xfId="1228"/>
    <cellStyle name="Normal_Cht-Cum Real Opr Cf" xfId="1229"/>
    <cellStyle name="Normal_Cht-Dep%Rev" xfId="1230"/>
    <cellStyle name="Normal_Cht-Real Opr Cf" xfId="1231"/>
    <cellStyle name="Normal_Cht-Rev dist" xfId="1232"/>
    <cellStyle name="Normal_Cht-Rev p line" xfId="1233"/>
    <cellStyle name="Normal_Cht-Rev per Staff" xfId="1234"/>
    <cellStyle name="Normal_Cht-Staff cost%revenue" xfId="1235"/>
    <cellStyle name="Normal_Co-wide Monthly" xfId="1236"/>
    <cellStyle name="Normal_Co-wide Monthly_dimon" xfId="1237"/>
    <cellStyle name="Normal_Code" xfId="1238"/>
    <cellStyle name="Normal_COMOTH" xfId="1239"/>
    <cellStyle name="Normal_coperdefault" xfId="1240"/>
    <cellStyle name="Normal_coperdefault_1" xfId="1241"/>
    <cellStyle name="Normal_Corp method" xfId="1242"/>
    <cellStyle name="Normal_COSO Capex" xfId="1243"/>
    <cellStyle name="Normal_Cost Code" xfId="1244"/>
    <cellStyle name="Normal_CROCF" xfId="1245"/>
    <cellStyle name="Normal_CTCUR" xfId="1246"/>
    <cellStyle name="Normal_Cum Real Opr Cf" xfId="1247"/>
    <cellStyle name="Normal_CUMPLTCH" xfId="1248"/>
    <cellStyle name="Normal_CurrencySKorea" xfId="1249"/>
    <cellStyle name="Normal_Curve_Economics" xfId="1250"/>
    <cellStyle name="Normal_Curve_Economics_1" xfId="1251"/>
    <cellStyle name="Normal_DAS Imperial 12-24-98 5PM" xfId="1252"/>
    <cellStyle name="Normal_DEFAULT" xfId="1253"/>
    <cellStyle name="Normal_Demand Fcst." xfId="1254"/>
    <cellStyle name="Normal_Dep%Rev" xfId="1255"/>
    <cellStyle name="Normal_Depletion" xfId="1256"/>
    <cellStyle name="Normal_DeskCurves" xfId="1257"/>
    <cellStyle name="Normal_dimon" xfId="1258"/>
    <cellStyle name="Normal_dimon_1" xfId="1259"/>
    <cellStyle name="Normal_dimon_2" xfId="1260"/>
    <cellStyle name="Normal_dimon_3" xfId="1261"/>
    <cellStyle name="Normal_dimon_4" xfId="1262"/>
    <cellStyle name="Normal_DIV" xfId="1263"/>
    <cellStyle name="Normal_Dowell C1b" xfId="1264"/>
    <cellStyle name="Normal_Dowell-C1a" xfId="1265"/>
    <cellStyle name="Normal_DRAFT Order Summary" xfId="1266"/>
    <cellStyle name="Normal_Dummy1" xfId="1267"/>
    <cellStyle name="Normal_E&amp;ONW1" xfId="1268"/>
    <cellStyle name="Normal_E&amp;ONW2" xfId="1269"/>
    <cellStyle name="Normal_E&amp;OOCPX" xfId="1270"/>
    <cellStyle name="Normal_Effective Tax Rate" xfId="1271"/>
    <cellStyle name="Normal_emserdefault" xfId="1272"/>
    <cellStyle name="Normal_emserdefault_1" xfId="1273"/>
    <cellStyle name="Normal_EPS" xfId="1274"/>
    <cellStyle name="Normal_EQCON" xfId="1275"/>
    <cellStyle name="Normal_EVER1" xfId="1276"/>
    <cellStyle name="Normal_export 61898" xfId="1277"/>
    <cellStyle name="Normal_export deals 050898" xfId="1278"/>
    <cellStyle name="Normal_EXTEMP1" xfId="1279"/>
    <cellStyle name="Normal_F&amp;COCPX" xfId="1280"/>
    <cellStyle name="Normal_FEBRUARY" xfId="1281"/>
    <cellStyle name="Normal_FF" xfId="1282"/>
    <cellStyle name="Normal_FP 20 A (1)" xfId="1283"/>
    <cellStyle name="Normal_FP 20 A (2)" xfId="1284"/>
    <cellStyle name="Normal_FP-20 (App. E)" xfId="1285"/>
    <cellStyle name="Normal_FP-20 (App.A) " xfId="1286"/>
    <cellStyle name="Normal_FP-20 (App.A) _1" xfId="1287"/>
    <cellStyle name="Normal_FP-20(C1) (a)" xfId="1288"/>
    <cellStyle name="Normal_FP-20(C1) (a) (2)" xfId="1289"/>
    <cellStyle name="Normal_FP-20(C1) (a)_1" xfId="1290"/>
    <cellStyle name="Normal_FP-20(C1) (b)" xfId="1291"/>
    <cellStyle name="Normal_FP-20(C1) (b) " xfId="1292"/>
    <cellStyle name="Normal_FP-20(C1) (b) (2)" xfId="1293"/>
    <cellStyle name="Normal_FP-20(C1) (e)" xfId="1294"/>
    <cellStyle name="Normal_FP20_C1A" xfId="1295"/>
    <cellStyle name="Normal_FP20_C1B" xfId="1296"/>
    <cellStyle name="Normal_GASDATA1" xfId="1297"/>
    <cellStyle name="Normal_GASDATA1 (2)" xfId="1298"/>
    <cellStyle name="Normal_GASDATA1_1" xfId="1299"/>
    <cellStyle name="Normal_GCM" xfId="1300"/>
    <cellStyle name="Normal_GE03" xfId="1301"/>
    <cellStyle name="Normal_GE04" xfId="1302"/>
    <cellStyle name="Normal_GenAssum" xfId="1303"/>
    <cellStyle name="Normal_GenMod" xfId="1304"/>
    <cellStyle name="Normal_GP C1a" xfId="1305"/>
    <cellStyle name="Normal_GP C1b" xfId="1306"/>
    <cellStyle name="Normal_GP_EI_3" xfId="1307"/>
    <cellStyle name="Normal_GQ C1A" xfId="1308"/>
    <cellStyle name="Normal_GQ C1B" xfId="1309"/>
    <cellStyle name="Normal_H" xfId="1310"/>
    <cellStyle name="Normal_HC" xfId="1311"/>
    <cellStyle name="Normal_Igobox" xfId="1312"/>
    <cellStyle name="Normal_Igobox_1" xfId="1313"/>
    <cellStyle name="Normal_Igobox_2" xfId="1314"/>
    <cellStyle name="Normal_Igobox_Imacros" xfId="1315"/>
    <cellStyle name="Normal_Igobox_IPP" xfId="1316"/>
    <cellStyle name="Normal_Igobox_Iprintbox" xfId="1317"/>
    <cellStyle name="Normal_Imacros" xfId="1318"/>
    <cellStyle name="Normal_Imacros_1" xfId="1319"/>
    <cellStyle name="Normal_Imacros_2" xfId="1320"/>
    <cellStyle name="Normal_Input" xfId="1321"/>
    <cellStyle name="Normal_INPUT_1" xfId="1322"/>
    <cellStyle name="Normal_INPUT_GenAssum" xfId="1323"/>
    <cellStyle name="Normal_Inputs" xfId="1324"/>
    <cellStyle name="Normal_Inputs_dimon" xfId="1325"/>
    <cellStyle name="Normal_Int. Data Table" xfId="1326"/>
    <cellStyle name="Normal_Int. Data Table_1" xfId="1327"/>
    <cellStyle name="Normal_INVREV" xfId="1328"/>
    <cellStyle name="Normal_IPM C1b" xfId="1329"/>
    <cellStyle name="Normal_IPMC1a" xfId="1330"/>
    <cellStyle name="Normal_IPP" xfId="1331"/>
    <cellStyle name="Normal_IPP Summary" xfId="1332"/>
    <cellStyle name="Normal_IPP_1" xfId="1333"/>
    <cellStyle name="Normal_IPP_1_Igobox" xfId="1334"/>
    <cellStyle name="Normal_IPP_1_Imacros" xfId="1335"/>
    <cellStyle name="Normal_IPP_1_Iprintbox" xfId="1336"/>
    <cellStyle name="Normal_IPP_2" xfId="1337"/>
    <cellStyle name="Normal_IPP_dimon" xfId="1338"/>
    <cellStyle name="Normal_Iprintbox" xfId="1339"/>
    <cellStyle name="Normal_Iprintbox_1" xfId="1340"/>
    <cellStyle name="Normal_Iprintbox_2" xfId="1341"/>
    <cellStyle name="Normal_IRR" xfId="1342"/>
    <cellStyle name="Normal_IS-Hold" xfId="1343"/>
    <cellStyle name="Normal_Iterbox" xfId="1344"/>
    <cellStyle name="Normal_ITOCPX" xfId="1345"/>
    <cellStyle name="Normal_jancf" xfId="1346"/>
    <cellStyle name="Normal_JUNMTH55" xfId="1347"/>
    <cellStyle name="Normal_JUNMTH57" xfId="1348"/>
    <cellStyle name="Normal_JUNYTD55" xfId="1349"/>
    <cellStyle name="Normal_JUNYTD57" xfId="1350"/>
    <cellStyle name="Normal_laroux" xfId="1351"/>
    <cellStyle name="Normal_laroux_1" xfId="1352"/>
    <cellStyle name="Normal_laroux_1_dimon" xfId="1353"/>
    <cellStyle name="Normal_laroux_1_dimon_1" xfId="1354"/>
    <cellStyle name="Normal_laroux_1_dimon_2" xfId="1355"/>
    <cellStyle name="Normal_laroux_1_laroux" xfId="1356"/>
    <cellStyle name="Normal_laroux_1_laroux_1" xfId="1357"/>
    <cellStyle name="Normal_laroux_1_laroux_2" xfId="1358"/>
    <cellStyle name="Normal_laroux_1_Locas" xfId="1359"/>
    <cellStyle name="Normal_laroux_1_Locas_1" xfId="1360"/>
    <cellStyle name="Normal_laroux_1_pldt" xfId="1361"/>
    <cellStyle name="Normal_laroux_1_pldt_1" xfId="1362"/>
    <cellStyle name="Normal_laroux_1_pldt_2" xfId="1363"/>
    <cellStyle name="Normal_laroux_1_pldt_3" xfId="1364"/>
    <cellStyle name="Normal_laroux_1_PLDT_dimon" xfId="1365"/>
    <cellStyle name="Normal_laroux_1_VERA" xfId="1366"/>
    <cellStyle name="Normal_laroux_1_VERA_1" xfId="1367"/>
    <cellStyle name="Normal_laroux_1_VIRUS-EDY" xfId="1368"/>
    <cellStyle name="Normal_laroux_2" xfId="1369"/>
    <cellStyle name="Normal_laroux_2_dimon" xfId="1370"/>
    <cellStyle name="Normal_laroux_2_dimon_1" xfId="1371"/>
    <cellStyle name="Normal_laroux_2_dimon_2" xfId="1372"/>
    <cellStyle name="Normal_laroux_2_dimon_3" xfId="1373"/>
    <cellStyle name="Normal_laroux_2_laroux" xfId="1374"/>
    <cellStyle name="Normal_laroux_2_laroux_1" xfId="1375"/>
    <cellStyle name="Normal_laroux_2_laroux_2" xfId="1376"/>
    <cellStyle name="Normal_laroux_2_Locas" xfId="1377"/>
    <cellStyle name="Normal_laroux_2_Locas_1" xfId="1378"/>
    <cellStyle name="Normal_laroux_2_pldt" xfId="1379"/>
    <cellStyle name="Normal_laroux_2_pldt_1" xfId="1380"/>
    <cellStyle name="Normal_laroux_2_pldt_2" xfId="1381"/>
    <cellStyle name="Normal_laroux_2_VIRUS-EDY" xfId="1382"/>
    <cellStyle name="Normal_laroux_3" xfId="1383"/>
    <cellStyle name="Normal_laroux_3_dimon" xfId="1384"/>
    <cellStyle name="Normal_laroux_3_dimon_1" xfId="1385"/>
    <cellStyle name="Normal_laroux_3_dimon_2" xfId="1386"/>
    <cellStyle name="Normal_laroux_3_dimon_3" xfId="1387"/>
    <cellStyle name="Normal_laroux_3_dimon_4" xfId="1388"/>
    <cellStyle name="Normal_laroux_3_laroux" xfId="1389"/>
    <cellStyle name="Normal_laroux_3_laroux_1" xfId="1390"/>
    <cellStyle name="Normal_laroux_3_laroux_2" xfId="1391"/>
    <cellStyle name="Normal_laroux_3_laroux_dimon" xfId="1392"/>
    <cellStyle name="Normal_laroux_3_Locas" xfId="1393"/>
    <cellStyle name="Normal_laroux_3_pldt" xfId="1394"/>
    <cellStyle name="Normal_laroux_3_pldt_1" xfId="1395"/>
    <cellStyle name="Normal_laroux_3_PLDT_dimon" xfId="1396"/>
    <cellStyle name="Normal_laroux_3_VERA" xfId="1397"/>
    <cellStyle name="Normal_laroux_3_VERA_1" xfId="1398"/>
    <cellStyle name="Normal_laroux_3_VIRUS-EDY" xfId="1399"/>
    <cellStyle name="Normal_laroux_4" xfId="1400"/>
    <cellStyle name="Normal_laroux_4_dimon" xfId="1401"/>
    <cellStyle name="Normal_laroux_4_dimon_1" xfId="1402"/>
    <cellStyle name="Normal_laroux_4_dimon_2" xfId="1403"/>
    <cellStyle name="Normal_laroux_4_dimon_3" xfId="1404"/>
    <cellStyle name="Normal_laroux_4_laroux" xfId="1405"/>
    <cellStyle name="Normal_laroux_4_laroux_1" xfId="1406"/>
    <cellStyle name="Normal_laroux_4_laroux_2" xfId="1407"/>
    <cellStyle name="Normal_laroux_4_pldt" xfId="1408"/>
    <cellStyle name="Normal_laroux_4_pldt_1" xfId="1409"/>
    <cellStyle name="Normal_laroux_4_pldt_2" xfId="1410"/>
    <cellStyle name="Normal_laroux_4_PLDT_dimon" xfId="1411"/>
    <cellStyle name="Normal_laroux_4_VERA" xfId="1412"/>
    <cellStyle name="Normal_laroux_4_VIRUS-EDY" xfId="1413"/>
    <cellStyle name="Normal_laroux_5" xfId="1414"/>
    <cellStyle name="Normal_laroux_5_dimon" xfId="1415"/>
    <cellStyle name="Normal_laroux_5_dimon_1" xfId="1416"/>
    <cellStyle name="Normal_laroux_5_dimon_2" xfId="1417"/>
    <cellStyle name="Normal_laroux_5_dimon_3" xfId="1418"/>
    <cellStyle name="Normal_laroux_5_laroux" xfId="1419"/>
    <cellStyle name="Normal_laroux_5_laroux_1" xfId="1420"/>
    <cellStyle name="Normal_laroux_5_laroux_2" xfId="1421"/>
    <cellStyle name="Normal_laroux_5_pldt" xfId="1422"/>
    <cellStyle name="Normal_laroux_5_pldt_1" xfId="1423"/>
    <cellStyle name="Normal_laroux_5_pldt_2" xfId="1424"/>
    <cellStyle name="Normal_laroux_5_pldt_3" xfId="1425"/>
    <cellStyle name="Normal_laroux_5_PLDT_dimon" xfId="1426"/>
    <cellStyle name="Normal_laroux_5_VERA" xfId="1427"/>
    <cellStyle name="Normal_laroux_5_VIRUS-EDY" xfId="1428"/>
    <cellStyle name="Normal_laroux_6" xfId="1429"/>
    <cellStyle name="Normal_laroux_6_dimon" xfId="1430"/>
    <cellStyle name="Normal_laroux_6_dimon_1" xfId="1431"/>
    <cellStyle name="Normal_laroux_6_dimon_2" xfId="1432"/>
    <cellStyle name="Normal_laroux_6_dimon_3" xfId="1433"/>
    <cellStyle name="Normal_laroux_6_laroux" xfId="1434"/>
    <cellStyle name="Normal_laroux_6_laroux_1" xfId="1435"/>
    <cellStyle name="Normal_laroux_6_laroux_dimon" xfId="1436"/>
    <cellStyle name="Normal_laroux_6_pldt" xfId="1437"/>
    <cellStyle name="Normal_laroux_6_pldt_1" xfId="1438"/>
    <cellStyle name="Normal_laroux_6_pldt_2" xfId="1439"/>
    <cellStyle name="Normal_laroux_6_PLDT_dimon" xfId="1440"/>
    <cellStyle name="Normal_laroux_6_VERA" xfId="1441"/>
    <cellStyle name="Normal_laroux_6_VIRUS-EDY" xfId="1442"/>
    <cellStyle name="Normal_laroux_7" xfId="1443"/>
    <cellStyle name="Normal_laroux_7_dimon" xfId="1444"/>
    <cellStyle name="Normal_laroux_7_dimon_1" xfId="1445"/>
    <cellStyle name="Normal_laroux_7_dimon_2" xfId="1446"/>
    <cellStyle name="Normal_laroux_7_laroux" xfId="1447"/>
    <cellStyle name="Normal_laroux_7_pldt" xfId="1448"/>
    <cellStyle name="Normal_laroux_7_pldt_1" xfId="1449"/>
    <cellStyle name="Normal_laroux_7_VERA" xfId="1450"/>
    <cellStyle name="Normal_laroux_7_VIRUS-EDY" xfId="1451"/>
    <cellStyle name="Normal_laroux_8" xfId="1452"/>
    <cellStyle name="Normal_laroux_8_dimon" xfId="1453"/>
    <cellStyle name="Normal_laroux_8_dimon_1" xfId="1454"/>
    <cellStyle name="Normal_laroux_8_pldt" xfId="1455"/>
    <cellStyle name="Normal_laroux_8_pldt_1" xfId="1456"/>
    <cellStyle name="Normal_laroux_8_VERA" xfId="1457"/>
    <cellStyle name="Normal_laroux_9" xfId="1458"/>
    <cellStyle name="Normal_laroux_9_dimon" xfId="1459"/>
    <cellStyle name="Normal_laroux_9_dimon_1" xfId="1460"/>
    <cellStyle name="Normal_laroux_A" xfId="1461"/>
    <cellStyle name="Normal_laroux_B" xfId="1462"/>
    <cellStyle name="Normal_laroux_C" xfId="1463"/>
    <cellStyle name="Normal_laroux_D" xfId="1464"/>
    <cellStyle name="Normal_laroux_dimon" xfId="1465"/>
    <cellStyle name="Normal_laroux_dimon_1" xfId="1466"/>
    <cellStyle name="Normal_laroux_dimon_2" xfId="1467"/>
    <cellStyle name="Normal_laroux_dimon_3" xfId="1468"/>
    <cellStyle name="Normal_laroux_dimon_4" xfId="1469"/>
    <cellStyle name="Normal_laroux_dimon_5" xfId="1470"/>
    <cellStyle name="Normal_laroux_laroux" xfId="1471"/>
    <cellStyle name="Normal_laroux_laroux_1" xfId="1472"/>
    <cellStyle name="Normal_laroux_laroux_2" xfId="1473"/>
    <cellStyle name="Normal_laroux_Locas" xfId="1474"/>
    <cellStyle name="Normal_laroux_pldt" xfId="1475"/>
    <cellStyle name="Normal_laroux_pldt_1" xfId="1476"/>
    <cellStyle name="Normal_laroux_pldt_2" xfId="1477"/>
    <cellStyle name="Normal_laroux_pldt_3" xfId="1478"/>
    <cellStyle name="Normal_laroux_PLDT_dimon" xfId="1479"/>
    <cellStyle name="Normal_laroux_VERA" xfId="1480"/>
    <cellStyle name="Normal_laroux_VERA_1" xfId="1481"/>
    <cellStyle name="Normal_laroux_VIRUS-EDY" xfId="1482"/>
    <cellStyle name="Normal_Line Inst." xfId="1483"/>
    <cellStyle name="Normal_List" xfId="1484"/>
    <cellStyle name="Normal_Locas" xfId="1485"/>
    <cellStyle name="Normal_Locas_1" xfId="1486"/>
    <cellStyle name="Normal_Lock" xfId="1487"/>
    <cellStyle name="Normal_MAJREP" xfId="1488"/>
    <cellStyle name="Normal_Master" xfId="1489"/>
    <cellStyle name="Normal_MATERAL2" xfId="1490"/>
    <cellStyle name="Normal_MATERAL2_dimon" xfId="1491"/>
    <cellStyle name="Normal_MED-A-CO.XLS" xfId="1492"/>
    <cellStyle name="Normal_MID CURVE" xfId="1493"/>
    <cellStyle name="Normal_MKGOCPX" xfId="1494"/>
    <cellStyle name="Normal_Mkt Shr" xfId="1495"/>
    <cellStyle name="Normal_MOBCPX" xfId="1496"/>
    <cellStyle name="Normal_Module1" xfId="1497"/>
    <cellStyle name="Normal_Module1 (2)" xfId="1498"/>
    <cellStyle name="Normal_Module1 (2)_1" xfId="1499"/>
    <cellStyle name="Normal_MONTHLY" xfId="1500"/>
    <cellStyle name="Normal_MOR  - Supp" xfId="1501"/>
    <cellStyle name="Normal_mud plant bolted" xfId="1502"/>
    <cellStyle name="Normal_mud plant bolted_dimon" xfId="1503"/>
    <cellStyle name="Normal_Multikarya" xfId="1504"/>
    <cellStyle name="Normal_NA WITHOUT GOV'T &amp; PNX" xfId="1505"/>
    <cellStyle name="Normal_NAOBU10" xfId="1506"/>
    <cellStyle name="Normal_NAT ACCT" xfId="1507"/>
    <cellStyle name="Normal_NCR-C&amp;W Val" xfId="1508"/>
    <cellStyle name="Normal_NCR-Cap intensity" xfId="1509"/>
    <cellStyle name="Normal_NCR-Line per Staff" xfId="1510"/>
    <cellStyle name="Normal_NCR-Rev dist" xfId="1511"/>
    <cellStyle name="Normal_NEHQ-ACT.XLS" xfId="1512"/>
    <cellStyle name="Normal_NS-A-CO.XLS" xfId="1513"/>
    <cellStyle name="Normal_NS_AT" xfId="1514"/>
    <cellStyle name="Normal_NS_CONS GROUP" xfId="1515"/>
    <cellStyle name="Normal_NSACTUAL.XLS" xfId="1516"/>
    <cellStyle name="Normal_NSACTUAL.XLS_1" xfId="1517"/>
    <cellStyle name="Normal_NX00" xfId="1518"/>
    <cellStyle name="Normal_OFFDATA1" xfId="1519"/>
    <cellStyle name="Normal_OFFDATA1 (2)" xfId="1520"/>
    <cellStyle name="Normal_OFFDATA1_1" xfId="1521"/>
    <cellStyle name="Normal_Op Cost Break" xfId="1522"/>
    <cellStyle name="Normal_Operations" xfId="1523"/>
    <cellStyle name="Normal_opsmacro" xfId="1524"/>
    <cellStyle name="Normal_OPSTAT" xfId="1525"/>
    <cellStyle name="Normal_OS-A-CO.XLS" xfId="1526"/>
    <cellStyle name="Normal_OSMOCPX" xfId="1527"/>
    <cellStyle name="Normal_Other Months" xfId="1528"/>
    <cellStyle name="Normal_Outlook" xfId="1529"/>
    <cellStyle name="Normal_Outlook_1" xfId="1530"/>
    <cellStyle name="Normal_OWN, AR, SNIPS" xfId="1531"/>
    <cellStyle name="Normal_PAGE 1" xfId="1532"/>
    <cellStyle name="Normal_pbdefault" xfId="1533"/>
    <cellStyle name="Normal_pbdefault_1" xfId="1534"/>
    <cellStyle name="Normal_percentages" xfId="1535"/>
    <cellStyle name="Normal_PERSONAL" xfId="1536"/>
    <cellStyle name="Normal_PERSONAL_dimon" xfId="1537"/>
    <cellStyle name="Normal_PERSONAL_Locas" xfId="1538"/>
    <cellStyle name="Normal_PGMKOCPX" xfId="1539"/>
    <cellStyle name="Normal_PGNW1" xfId="1540"/>
    <cellStyle name="Normal_PGNW2" xfId="1541"/>
    <cellStyle name="Normal_PGNWOCPX" xfId="1542"/>
    <cellStyle name="Normal_Picks" xfId="1543"/>
    <cellStyle name="Normal_Pink" xfId="1544"/>
    <cellStyle name="Normal_PKDATA1" xfId="1545"/>
    <cellStyle name="Normal_PKDATA1 (2)" xfId="1546"/>
    <cellStyle name="Normal_PKDATA1_1" xfId="1547"/>
    <cellStyle name="Normal_PLAN" xfId="1548"/>
    <cellStyle name="Normal_PLANT" xfId="1549"/>
    <cellStyle name="Normal_PLANTS" xfId="1550"/>
    <cellStyle name="Normal_PLDT" xfId="1551"/>
    <cellStyle name="Normal_PLDT_1" xfId="1552"/>
    <cellStyle name="Normal_pldt_1_Calculations" xfId="1553"/>
    <cellStyle name="Normal_PLDT_1_dimon" xfId="1554"/>
    <cellStyle name="Normal_pldt_2" xfId="1555"/>
    <cellStyle name="Normal_pldt_2_Calculations" xfId="0"/>
    <cellStyle name="Normal_PLDT_2_dimon" xfId="0"/>
    <cellStyle name="Normal_pldt_2_dimon_1" xfId="0"/>
    <cellStyle name="Normal_pldt_2_pldt" xfId="0"/>
    <cellStyle name="Normal_pldt_3" xfId="0"/>
    <cellStyle name="Normal_pldt_3_dimon" xfId="0"/>
    <cellStyle name="Normal_pldt_4" xfId="0"/>
    <cellStyle name="Normal_pldt_4_dimon" xfId="0"/>
    <cellStyle name="Normal_PLDT_4_dimon_1" xfId="0"/>
    <cellStyle name="Normal_pldt_5" xfId="0"/>
    <cellStyle name="Normal_pldt_6" xfId="0"/>
    <cellStyle name="Normal_pldt_Calculations" xfId="0"/>
    <cellStyle name="Normal_PLDT_dimon" xfId="0"/>
    <cellStyle name="Normal_PLDT_dimon_1" xfId="0"/>
    <cellStyle name="Normal_pldt_pldt" xfId="0"/>
    <cellStyle name="Normal_POW-Provision" xfId="0"/>
    <cellStyle name="Normal_priccurv" xfId="0"/>
    <cellStyle name="Normal_priccurv_1" xfId="0"/>
    <cellStyle name="Normal_priccurv_2" xfId="0"/>
    <cellStyle name="Normal_PriceCurve" xfId="0"/>
    <cellStyle name="Normal_PriceCurve_1" xfId="0"/>
    <cellStyle name="Normal_PrintBox (2)" xfId="0"/>
    <cellStyle name="Normal_PROCDS&amp;G" xfId="0"/>
    <cellStyle name="Normal_PROD SALES" xfId="0"/>
    <cellStyle name="Normal_PROD SALES by Region Pg 2" xfId="0"/>
    <cellStyle name="Normal_PRODUCT" xfId="0"/>
    <cellStyle name="Normal_Production Payment model" xfId="0"/>
    <cellStyle name="Normal_production tony" xfId="0"/>
    <cellStyle name="Normal_PROFILE4" xfId="0"/>
    <cellStyle name="Normal_PSTNOCFP" xfId="0"/>
    <cellStyle name="Normal_Q08-95.XLS" xfId="0"/>
    <cellStyle name="Normal_QMM-1" xfId="0"/>
    <cellStyle name="Normal_Quarter End Months" xfId="0"/>
    <cellStyle name="Normal_r1" xfId="0"/>
    <cellStyle name="Normal_R2FAC" xfId="0"/>
    <cellStyle name="Normal_Real Opr Cf" xfId="0"/>
    <cellStyle name="Normal_Real Rev per Staff (1)" xfId="0"/>
    <cellStyle name="Normal_Real Rev per Staff (2)" xfId="0"/>
    <cellStyle name="Normal_Region 2-C&amp;W" xfId="0"/>
    <cellStyle name="Normal_REPORT-budget" xfId="0"/>
    <cellStyle name="Normal_REPORT-plan" xfId="0"/>
    <cellStyle name="Normal_Return on Rev" xfId="0"/>
    <cellStyle name="Normal_Rev p line" xfId="0"/>
    <cellStyle name="Normal_ROACE" xfId="0"/>
    <cellStyle name="Normal_ROCF (Tot)" xfId="0"/>
    <cellStyle name="Normal_Sales Order" xfId="0"/>
    <cellStyle name="Normal_SALES, BGP, MOI" xfId="0"/>
    <cellStyle name="Normal_Salton Sea 4" xfId="0"/>
    <cellStyle name="Normal_SATOCPX" xfId="0"/>
    <cellStyle name="Normal_SC COP" xfId="0"/>
    <cellStyle name="Normal_ScreeningModel" xfId="0"/>
    <cellStyle name="Normal_SELECT" xfId="0"/>
    <cellStyle name="Normal_SHEET" xfId="0"/>
    <cellStyle name="Normal_Sheet1" xfId="0"/>
    <cellStyle name="Normal_Sheet1 (2)" xfId="0"/>
    <cellStyle name="Normal_Sheet1 (2)_dimon" xfId="0"/>
    <cellStyle name="Normal_Sheet1 (2)_VERA" xfId="0"/>
    <cellStyle name="Normal_Sheet1 (2)_VERA_1" xfId="0"/>
    <cellStyle name="Normal_Sheet1_1" xfId="0"/>
    <cellStyle name="Normal_Sheet1_brownsville_0121" xfId="0"/>
    <cellStyle name="Normal_Sheet1_dimon" xfId="0"/>
    <cellStyle name="Normal_Sheet1_dimon_1" xfId="0"/>
    <cellStyle name="Normal_Sheet1_FUNDS" xfId="0"/>
    <cellStyle name="Normal_Sheet1_FUNDS (2)" xfId="0"/>
    <cellStyle name="Normal_Sheet1_laroux" xfId="0"/>
    <cellStyle name="Normal_Sheet1_List" xfId="0"/>
    <cellStyle name="Normal_Sheet1_PLDT" xfId="0"/>
    <cellStyle name="Normal_Sheet1_VERA" xfId="0"/>
    <cellStyle name="Normal_Sheet1_VERA_1" xfId="0"/>
    <cellStyle name="Normal_Sheet2" xfId="0"/>
    <cellStyle name="Normal_Sheet3" xfId="0"/>
    <cellStyle name="Normal_SHENREPT" xfId="0"/>
    <cellStyle name="Normal_SHENREPT_laroux" xfId="0"/>
    <cellStyle name="Normal_SHENREPT_pldt" xfId="0"/>
    <cellStyle name="Normal_solInv_suppldata_qry" xfId="0"/>
    <cellStyle name="Normal_SOP" xfId="0"/>
    <cellStyle name="Normal_Specifics" xfId="0"/>
    <cellStyle name="Normal_sprint contr" xfId="0"/>
    <cellStyle name="Normal_Staff cost%rev" xfId="0"/>
    <cellStyle name="Normal_Summary" xfId="0"/>
    <cellStyle name="Normal_SUMMARY_brownsville_0121" xfId="0"/>
    <cellStyle name="Normal_SUMMARY_DCF_IPP" xfId="0"/>
    <cellStyle name="Normal_Summary_dimon" xfId="0"/>
    <cellStyle name="Normal_SUMPAGE" xfId="0"/>
    <cellStyle name="Normal_Supplementary analysis" xfId="0"/>
    <cellStyle name="Normal_SWI-C-CO.XLS" xfId="0"/>
    <cellStyle name="Normal_Tax Depr" xfId="0"/>
    <cellStyle name="Normal_Template" xfId="0"/>
    <cellStyle name="Normal_Template_dimon" xfId="0"/>
    <cellStyle name="Normal_TESTDATA" xfId="0"/>
    <cellStyle name="Normal_TMSNW1" xfId="0"/>
    <cellStyle name="Normal_TMSNW2" xfId="0"/>
    <cellStyle name="Normal_TMSOCPX" xfId="0"/>
    <cellStyle name="Normal_TOTAL MTH" xfId="0"/>
    <cellStyle name="Normal_TOTAL NX CASH FLOW" xfId="0"/>
    <cellStyle name="Normal_TOTAL YTD" xfId="0"/>
    <cellStyle name="Normal_Total-Rev dist." xfId="0"/>
    <cellStyle name="Normal_TRANSDSC.XLS" xfId="0"/>
    <cellStyle name="Normal_TRANSFXA.XLS" xfId="0"/>
    <cellStyle name="Normal_TRANSFXA.XLS_1" xfId="0"/>
    <cellStyle name="Normal_TRANSFXA.XLS_2" xfId="0"/>
    <cellStyle name="Normal_TRANSIME.XLS" xfId="0"/>
    <cellStyle name="Normal_TRANSIME.XLS_1" xfId="0"/>
    <cellStyle name="Normal_TRANSIME.XLS_TRANSDSC.XLS" xfId="0"/>
    <cellStyle name="Normal_TRANSIME.XLS_TRANSFXA.XLS" xfId="0"/>
    <cellStyle name="Normal_TRN-A-CO.XLS" xfId="0"/>
    <cellStyle name="Normal_VDlg" xfId="0"/>
    <cellStyle name="Normal_White" xfId="0"/>
    <cellStyle name="Normal_WO Var. &amp; Tot. Exp." xfId="0"/>
    <cellStyle name="Normal_WSP" xfId="0"/>
    <cellStyle name="Normal_yrcao" xfId="0"/>
    <cellStyle name="Normal_YREND55" xfId="0"/>
    <cellStyle name="Normal_YREND57" xfId="0"/>
    <cellStyle name="Normal_YTDCUR" xfId="0"/>
    <cellStyle name="Normal_Yuma CE Strategic" xfId="0"/>
    <cellStyle name="Normal_yuma_1006a" xfId="0"/>
    <cellStyle name="Percent [2]" xfId="0"/>
    <cellStyle name="Percent_dimon" xfId="0"/>
    <cellStyle name="Percent_Salton Sea 4" xfId="0"/>
    <cellStyle name="Percent_SPC99-03" xfId="0"/>
    <cellStyle name="Percent_Tony" xfId="0"/>
    <cellStyle name="Percent_Yuma CE Strategic" xfId="0"/>
    <cellStyle name="Standard_Anpassen der Amortisation" xfId="0"/>
    <cellStyle name="Standard_ATW" xfId="0"/>
    <cellStyle name="Standard_Compiling Utility Macros" xfId="0"/>
    <cellStyle name="Standard_FixerSetupDlg" xfId="0"/>
    <cellStyle name="Standard_Sperren" xfId="0"/>
    <cellStyle name="Standard_Sperren_1" xfId="0"/>
    <cellStyle name="Standard_TemplateInformation" xfId="0"/>
    <cellStyle name="Standard_TemplateInformation_1" xfId="0"/>
    <cellStyle name="Total" xfId="0"/>
    <cellStyle name="uk" xfId="0"/>
    <cellStyle name="Un" xfId="0"/>
    <cellStyle name="Unprot" xfId="0"/>
    <cellStyle name="Unprot$" xfId="0"/>
    <cellStyle name="Unprot_CurrencySKorea" xfId="0"/>
    <cellStyle name="Unprot_GenMod" xfId="0"/>
    <cellStyle name="Unprot_ScreeningModel" xfId="0"/>
    <cellStyle name="Unprotect" xfId="0"/>
    <cellStyle name="Unprotect_dimon" xfId="0"/>
    <cellStyle name="Unprotect_summary" xfId="0"/>
    <cellStyle name="Währung [0]_Compiling Utility Macros" xfId="0"/>
    <cellStyle name="Währung [0]_FixerSetupDlg" xfId="0"/>
    <cellStyle name="Währung [0]_TemplateInformation" xfId="0"/>
    <cellStyle name="Währung_Compiling Utility Macros" xfId="0"/>
    <cellStyle name="Währung_FixerSetupDlg" xfId="0"/>
    <cellStyle name="Währung_TemplateInformation" xfId="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E3E3E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externalLink" Target="externalLinks/externalLink1.xml"/><Relationship Id="rId17" Type="http://schemas.openxmlformats.org/officeDocument/2006/relationships/externalLink" Target="externalLinks/externalLink2.xml"/><Relationship Id="rId18" Type="http://schemas.openxmlformats.org/officeDocument/2006/relationships/externalLink" Target="externalLinks/externalLink3.xml"/><Relationship Id="rId19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5</xdr:row>
          <xdr:rowOff>47520</xdr:rowOff>
        </xdr:from>
        <xdr:to>
          <xdr:col>2</xdr:col>
          <xdr:colOff>-118440</xdr:colOff>
          <xdr:row>6</xdr:row>
          <xdr:rowOff>47880</xdr:rowOff>
        </xdr:to>
        <xdr:sp>
          <xdr:nvSpPr>
            <xdr:cNvPr id="0" name="Drop Down 1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9360</xdr:rowOff>
        </xdr:from>
        <xdr:to>
          <xdr:col>2</xdr:col>
          <xdr:colOff>-128880</xdr:colOff>
          <xdr:row>9</xdr:row>
          <xdr:rowOff>29160</xdr:rowOff>
        </xdr:to>
        <xdr:sp>
          <xdr:nvSpPr>
            <xdr:cNvPr id="0" name="Drop Down 5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190800</xdr:rowOff>
        </xdr:from>
        <xdr:to>
          <xdr:col>2</xdr:col>
          <xdr:colOff>-128880</xdr:colOff>
          <xdr:row>10</xdr:row>
          <xdr:rowOff>199800</xdr:rowOff>
        </xdr:to>
        <xdr:sp>
          <xdr:nvSpPr>
            <xdr:cNvPr id="0" name="Drop Down 6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10440</xdr:colOff>
          <xdr:row>11</xdr:row>
          <xdr:rowOff>181440</xdr:rowOff>
        </xdr:from>
        <xdr:to>
          <xdr:col>2</xdr:col>
          <xdr:colOff>-128880</xdr:colOff>
          <xdr:row>12</xdr:row>
          <xdr:rowOff>190800</xdr:rowOff>
        </xdr:to>
        <xdr:sp>
          <xdr:nvSpPr>
            <xdr:cNvPr id="0" name="Drop Down 7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PEMEX_Model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TEMP/Brownsville2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xls/brownsville_012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um"/>
      <sheetName val="IS &amp; CF"/>
      <sheetName val="Ops"/>
      <sheetName val="Ins &amp; PT"/>
      <sheetName val="Financing"/>
      <sheetName val="Dep"/>
      <sheetName val="O&amp;M"/>
      <sheetName val="Volumes"/>
      <sheetName val="%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monci"/>
      <sheetName val="Project Assumptions"/>
      <sheetName val="PPA Assumptions &amp;Summary"/>
      <sheetName val="Operations"/>
      <sheetName val="Book Income Statement"/>
      <sheetName val="Cash Flow Statement"/>
      <sheetName val="BS"/>
      <sheetName val="Depreciation"/>
      <sheetName val="Interest During Construction"/>
      <sheetName val="Maintenance Reserv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monci"/>
      <sheetName val="Tracking sheet"/>
      <sheetName val="Value"/>
      <sheetName val="Project Assumptions"/>
      <sheetName val="PPA Assumptions &amp;Summary"/>
      <sheetName val="Operations"/>
      <sheetName val="Debt Amortization"/>
      <sheetName val="Returns Summary"/>
      <sheetName val="Book Income Statement"/>
      <sheetName val="Cash Flow Statement"/>
      <sheetName val="BS"/>
      <sheetName val="Tax Calculations"/>
      <sheetName val="Depreciation"/>
      <sheetName val="Interest During Construction"/>
      <sheetName val="Maintenance Reserv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10.xml.rels><?xml version="1.0" encoding="UTF-8"?>
<Relationships xmlns="http://schemas.openxmlformats.org/package/2006/relationships"><Relationship Id="rId1" Type="http://schemas.openxmlformats.org/officeDocument/2006/relationships/comments" Target="../comments10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X3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37.99"/>
    <col collapsed="false" customWidth="true" hidden="false" outlineLevel="0" max="2" min="2" style="1" width="24.99"/>
    <col collapsed="false" customWidth="true" hidden="false" outlineLevel="0" max="6" min="3" style="1" width="25.28"/>
    <col collapsed="false" customWidth="true" hidden="false" outlineLevel="0" max="7" min="7" style="1" width="11.56"/>
    <col collapsed="false" customWidth="true" hidden="false" outlineLevel="0" max="8" min="8" style="1" width="17.85"/>
    <col collapsed="false" customWidth="false" hidden="false" outlineLevel="0" max="15" min="9" style="1" width="9.14"/>
    <col collapsed="false" customWidth="true" hidden="false" outlineLevel="0" max="16" min="16" style="1" width="23.14"/>
    <col collapsed="false" customWidth="true" hidden="false" outlineLevel="0" max="17" min="17" style="1" width="38.56"/>
    <col collapsed="false" customWidth="true" hidden="false" outlineLevel="0" max="18" min="18" style="1" width="11.56"/>
    <col collapsed="false" customWidth="true" hidden="false" outlineLevel="0" max="19" min="19" style="1" width="22.7"/>
    <col collapsed="false" customWidth="false" hidden="false" outlineLevel="0" max="257" min="20" style="1" width="9.14"/>
  </cols>
  <sheetData>
    <row r="2" customFormat="false" ht="18.75" hidden="false" customHeight="false" outlineLevel="0" collapsed="false">
      <c r="A2" s="2" t="s">
        <v>0</v>
      </c>
      <c r="B2" s="3"/>
      <c r="C2" s="3"/>
      <c r="D2" s="3"/>
      <c r="E2" s="3"/>
      <c r="F2" s="3"/>
      <c r="G2" s="4"/>
      <c r="H2" s="4"/>
      <c r="I2" s="4"/>
      <c r="J2" s="5"/>
      <c r="K2" s="5"/>
      <c r="L2" s="5"/>
    </row>
    <row r="3" customFormat="false" ht="18.75" hidden="false" customHeight="false" outlineLevel="0" collapsed="false">
      <c r="A3" s="6"/>
      <c r="B3" s="6"/>
      <c r="C3" s="6"/>
      <c r="D3" s="6"/>
      <c r="E3" s="6"/>
      <c r="F3" s="6"/>
      <c r="G3" s="6"/>
      <c r="H3" s="6"/>
      <c r="I3" s="6"/>
    </row>
    <row r="4" customFormat="false" ht="20.25" hidden="false" customHeight="false" outlineLevel="0" collapsed="false">
      <c r="B4" s="7"/>
      <c r="C4" s="7"/>
      <c r="D4" s="7"/>
      <c r="E4" s="7"/>
    </row>
    <row r="5" customFormat="false" ht="15.75" hidden="false" customHeight="false" outlineLevel="0" collapsed="false">
      <c r="A5" s="8"/>
      <c r="B5" s="8"/>
      <c r="C5" s="8"/>
      <c r="D5" s="8"/>
      <c r="T5" s="5"/>
      <c r="U5" s="5"/>
    </row>
    <row r="6" customFormat="false" ht="15.75" hidden="false" customHeight="false" outlineLevel="0" collapsed="false">
      <c r="A6" s="9" t="s">
        <v>1</v>
      </c>
      <c r="B6" s="9"/>
      <c r="C6" s="9"/>
      <c r="D6" s="9"/>
      <c r="E6" s="4"/>
      <c r="F6" s="5"/>
      <c r="G6" s="5"/>
      <c r="H6" s="5"/>
      <c r="I6" s="5"/>
      <c r="J6" s="5"/>
      <c r="K6" s="5"/>
      <c r="L6" s="5"/>
      <c r="M6" s="5"/>
      <c r="N6" s="5"/>
      <c r="T6" s="5"/>
      <c r="U6" s="5"/>
      <c r="V6" s="5"/>
      <c r="W6" s="5"/>
      <c r="X6" s="5"/>
    </row>
    <row r="7" customFormat="false" ht="15.75" hidden="false" customHeight="false" outlineLevel="0" collapsed="false">
      <c r="A7" s="8" t="s">
        <v>2</v>
      </c>
      <c r="B7" s="9"/>
      <c r="C7" s="9"/>
      <c r="D7" s="9"/>
      <c r="E7" s="4"/>
      <c r="F7" s="5"/>
      <c r="G7" s="5"/>
      <c r="H7" s="5"/>
      <c r="I7" s="5"/>
      <c r="J7" s="5"/>
      <c r="K7" s="5"/>
      <c r="L7" s="5"/>
      <c r="M7" s="5"/>
      <c r="N7" s="5"/>
      <c r="T7" s="5"/>
      <c r="U7" s="5"/>
      <c r="V7" s="5"/>
      <c r="W7" s="5"/>
      <c r="X7" s="5"/>
    </row>
    <row r="8" customFormat="false" ht="15.75" hidden="false" customHeight="false" outlineLevel="0" collapsed="false">
      <c r="A8" s="9"/>
      <c r="B8" s="9"/>
      <c r="C8" s="9"/>
      <c r="D8" s="9"/>
      <c r="E8" s="4"/>
      <c r="F8" s="5"/>
      <c r="G8" s="5"/>
      <c r="H8" s="5"/>
      <c r="I8" s="5"/>
      <c r="J8" s="5"/>
      <c r="K8" s="5"/>
      <c r="L8" s="5"/>
      <c r="M8" s="5"/>
      <c r="N8" s="5"/>
      <c r="T8" s="5"/>
      <c r="U8" s="5"/>
      <c r="V8" s="5"/>
      <c r="W8" s="5"/>
      <c r="X8" s="5"/>
    </row>
    <row r="9" customFormat="false" ht="15.75" hidden="false" customHeight="false" outlineLevel="0" collapsed="false">
      <c r="A9" s="9" t="s">
        <v>3</v>
      </c>
      <c r="B9" s="9"/>
      <c r="C9" s="9"/>
      <c r="D9" s="9"/>
      <c r="E9" s="4"/>
      <c r="F9" s="5"/>
      <c r="G9" s="5"/>
      <c r="H9" s="5"/>
      <c r="I9" s="5"/>
      <c r="J9" s="5"/>
      <c r="K9" s="5"/>
      <c r="L9" s="5"/>
      <c r="M9" s="5"/>
      <c r="N9" s="5"/>
      <c r="T9" s="5"/>
      <c r="U9" s="5"/>
      <c r="V9" s="5"/>
      <c r="W9" s="5"/>
      <c r="X9" s="5"/>
    </row>
    <row r="10" customFormat="false" ht="15.75" hidden="false" customHeight="false" outlineLevel="0" collapsed="false">
      <c r="A10" s="9"/>
      <c r="B10" s="9"/>
      <c r="C10" s="9"/>
      <c r="D10" s="9"/>
      <c r="E10" s="4"/>
      <c r="F10" s="5"/>
      <c r="G10" s="5"/>
      <c r="H10" s="5"/>
      <c r="I10" s="5"/>
      <c r="J10" s="5"/>
      <c r="K10" s="5"/>
      <c r="L10" s="5"/>
      <c r="M10" s="5"/>
      <c r="N10" s="5"/>
      <c r="T10" s="5"/>
      <c r="U10" s="5"/>
      <c r="V10" s="5"/>
      <c r="W10" s="5"/>
      <c r="X10" s="5"/>
    </row>
    <row r="11" customFormat="false" ht="15.75" hidden="false" customHeight="false" outlineLevel="0" collapsed="false">
      <c r="A11" s="9" t="s">
        <v>4</v>
      </c>
      <c r="B11" s="9"/>
      <c r="C11" s="9"/>
      <c r="D11" s="9"/>
      <c r="E11" s="4"/>
      <c r="F11" s="5"/>
      <c r="G11" s="5"/>
      <c r="H11" s="5"/>
      <c r="I11" s="5"/>
      <c r="J11" s="5"/>
      <c r="K11" s="5"/>
      <c r="L11" s="5"/>
      <c r="M11" s="5"/>
      <c r="N11" s="5"/>
      <c r="T11" s="5"/>
      <c r="U11" s="5"/>
      <c r="V11" s="5"/>
      <c r="W11" s="5"/>
      <c r="X11" s="5"/>
    </row>
    <row r="12" customFormat="false" ht="15.75" hidden="false" customHeight="false" outlineLevel="0" collapsed="false">
      <c r="A12" s="9"/>
      <c r="B12" s="9"/>
      <c r="C12" s="9"/>
      <c r="D12" s="9"/>
      <c r="E12" s="4"/>
      <c r="F12" s="5"/>
      <c r="G12" s="5"/>
      <c r="H12" s="5"/>
      <c r="I12" s="5"/>
      <c r="J12" s="5"/>
      <c r="K12" s="5"/>
      <c r="L12" s="5"/>
      <c r="M12" s="5"/>
      <c r="N12" s="5"/>
      <c r="T12" s="5"/>
      <c r="U12" s="5"/>
      <c r="V12" s="5"/>
      <c r="W12" s="5"/>
      <c r="X12" s="5"/>
    </row>
    <row r="13" customFormat="false" ht="16.5" hidden="false" customHeight="false" outlineLevel="0" collapsed="false">
      <c r="A13" s="9" t="s">
        <v>5</v>
      </c>
      <c r="B13" s="9"/>
      <c r="C13" s="9"/>
      <c r="D13" s="9"/>
      <c r="E13" s="4"/>
      <c r="F13" s="5"/>
      <c r="G13" s="5"/>
      <c r="H13" s="5"/>
      <c r="I13" s="5"/>
      <c r="J13" s="5"/>
      <c r="K13" s="5"/>
      <c r="L13" s="5"/>
      <c r="M13" s="5"/>
      <c r="N13" s="5"/>
      <c r="T13" s="5"/>
      <c r="U13" s="5"/>
      <c r="V13" s="5"/>
      <c r="W13" s="5"/>
      <c r="X13" s="5"/>
    </row>
    <row r="14" customFormat="false" ht="15.75" hidden="false" customHeight="false" outlineLevel="0" collapsed="false">
      <c r="A14" s="10" t="s">
        <v>6</v>
      </c>
      <c r="B14" s="11"/>
      <c r="C14" s="12"/>
      <c r="D14" s="12"/>
      <c r="E14" s="13"/>
      <c r="G14" s="5"/>
      <c r="H14" s="0"/>
      <c r="I14" s="0"/>
      <c r="J14" s="0"/>
      <c r="K14" s="0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</row>
    <row r="15" customFormat="false" ht="15.75" hidden="false" customHeight="false" outlineLevel="0" collapsed="false">
      <c r="A15" s="14"/>
      <c r="B15" s="15"/>
      <c r="C15" s="15"/>
      <c r="D15" s="15"/>
      <c r="E15" s="16"/>
      <c r="G15" s="5"/>
      <c r="H15" s="0"/>
      <c r="I15" s="0"/>
      <c r="J15" s="0"/>
      <c r="K15" s="0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</row>
    <row r="16" customFormat="false" ht="15.75" hidden="false" customHeight="false" outlineLevel="0" collapsed="false">
      <c r="A16" s="17" t="s">
        <v>7</v>
      </c>
      <c r="B16" s="18" t="s">
        <v>8</v>
      </c>
      <c r="C16" s="18" t="s">
        <v>9</v>
      </c>
      <c r="D16" s="18" t="s">
        <v>4</v>
      </c>
      <c r="E16" s="19" t="s">
        <v>10</v>
      </c>
      <c r="G16" s="5"/>
      <c r="H16" s="0"/>
      <c r="I16" s="0"/>
      <c r="J16" s="0"/>
      <c r="K16" s="0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</row>
    <row r="17" customFormat="false" ht="15.75" hidden="false" customHeight="false" outlineLevel="0" collapsed="false">
      <c r="A17" s="14"/>
      <c r="B17" s="15" t="n">
        <v>3</v>
      </c>
      <c r="C17" s="20" t="n">
        <v>1</v>
      </c>
      <c r="D17" s="15" t="n">
        <v>2</v>
      </c>
      <c r="E17" s="16" t="n">
        <v>1</v>
      </c>
      <c r="G17" s="5"/>
      <c r="H17" s="0"/>
      <c r="I17" s="0"/>
      <c r="J17" s="0"/>
      <c r="K17" s="0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</row>
    <row r="18" customFormat="false" ht="15.75" hidden="false" customHeight="false" outlineLevel="0" collapsed="false">
      <c r="A18" s="14"/>
      <c r="B18" s="15"/>
      <c r="C18" s="20"/>
      <c r="D18" s="15"/>
      <c r="E18" s="16"/>
      <c r="G18" s="5"/>
      <c r="H18" s="0"/>
      <c r="I18" s="0"/>
      <c r="J18" s="0"/>
      <c r="K18" s="0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</row>
    <row r="19" customFormat="false" ht="15.75" hidden="false" customHeight="false" outlineLevel="0" collapsed="false">
      <c r="A19" s="14" t="n">
        <v>1</v>
      </c>
      <c r="B19" s="21" t="n">
        <v>0</v>
      </c>
      <c r="C19" s="22" t="n">
        <v>1</v>
      </c>
      <c r="D19" s="15" t="n">
        <v>0</v>
      </c>
      <c r="E19" s="23" t="s">
        <v>11</v>
      </c>
      <c r="G19" s="5"/>
      <c r="H19" s="0"/>
      <c r="I19" s="0"/>
      <c r="J19" s="0"/>
      <c r="K19" s="0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</row>
    <row r="20" customFormat="false" ht="15.75" hidden="false" customHeight="false" outlineLevel="0" collapsed="false">
      <c r="A20" s="14" t="n">
        <v>2</v>
      </c>
      <c r="B20" s="21" t="n">
        <v>0.015</v>
      </c>
      <c r="C20" s="22" t="n">
        <v>1.1</v>
      </c>
      <c r="D20" s="15" t="n">
        <v>120</v>
      </c>
      <c r="E20" s="23" t="s">
        <v>12</v>
      </c>
      <c r="G20" s="5"/>
      <c r="H20" s="0"/>
      <c r="I20" s="0"/>
      <c r="J20" s="0"/>
      <c r="K20" s="0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</row>
    <row r="21" customFormat="false" ht="15.75" hidden="false" customHeight="false" outlineLevel="0" collapsed="false">
      <c r="A21" s="14" t="n">
        <v>3</v>
      </c>
      <c r="B21" s="21" t="n">
        <v>0.03</v>
      </c>
      <c r="C21" s="15"/>
      <c r="D21" s="15"/>
      <c r="E21" s="23" t="s">
        <v>13</v>
      </c>
      <c r="G21" s="5"/>
      <c r="H21" s="0"/>
      <c r="I21" s="0"/>
      <c r="J21" s="0"/>
      <c r="K21" s="0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</row>
    <row r="22" customFormat="false" ht="15.75" hidden="false" customHeight="false" outlineLevel="0" collapsed="false">
      <c r="A22" s="14" t="n">
        <v>4</v>
      </c>
      <c r="B22" s="21" t="n">
        <v>0.045</v>
      </c>
      <c r="C22" s="15"/>
      <c r="D22" s="15"/>
      <c r="E22" s="23"/>
      <c r="G22" s="5"/>
      <c r="H22" s="0"/>
      <c r="I22" s="0"/>
      <c r="J22" s="0"/>
      <c r="K22" s="0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</row>
    <row r="23" customFormat="false" ht="16.5" hidden="false" customHeight="false" outlineLevel="0" collapsed="false">
      <c r="A23" s="24" t="s">
        <v>14</v>
      </c>
      <c r="B23" s="25" t="n">
        <f aca="false">INDEX(B19:B22,B17)</f>
        <v>0.03</v>
      </c>
      <c r="C23" s="26" t="n">
        <f aca="false">INDEX(C19:C22,C17)</f>
        <v>1</v>
      </c>
      <c r="D23" s="27" t="n">
        <f aca="false">INDEX(D19:D22,D17)</f>
        <v>120</v>
      </c>
      <c r="E23" s="28" t="str">
        <f aca="false">INDEX(E19:E22,E17)</f>
        <v>Base</v>
      </c>
      <c r="G23" s="5"/>
      <c r="H23" s="0"/>
      <c r="I23" s="0"/>
      <c r="J23" s="0"/>
      <c r="K23" s="0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</row>
    <row r="24" customFormat="false" ht="15.75" hidden="false" customHeight="false" outlineLevel="0" collapsed="false">
      <c r="A24" s="29"/>
      <c r="B24" s="29"/>
      <c r="C24" s="29"/>
      <c r="D24" s="29"/>
      <c r="E24" s="5"/>
      <c r="F24" s="5"/>
      <c r="G24" s="5"/>
      <c r="H24" s="5"/>
      <c r="I24" s="5"/>
      <c r="J24" s="5"/>
      <c r="K24" s="5"/>
      <c r="L24" s="5"/>
      <c r="M24" s="5"/>
      <c r="N24" s="5"/>
      <c r="T24" s="5"/>
      <c r="U24" s="5"/>
      <c r="V24" s="5"/>
      <c r="W24" s="5"/>
      <c r="X24" s="5"/>
    </row>
    <row r="25" customFormat="false" ht="16.5" hidden="false" customHeight="false" outlineLevel="0" collapsed="false">
      <c r="A25" s="29"/>
      <c r="B25" s="29"/>
      <c r="C25" s="29"/>
      <c r="D25" s="29"/>
      <c r="E25" s="5"/>
      <c r="F25" s="5"/>
      <c r="G25" s="5"/>
      <c r="H25" s="5"/>
      <c r="I25" s="5"/>
      <c r="J25" s="5"/>
      <c r="K25" s="5"/>
      <c r="L25" s="5"/>
      <c r="M25" s="5"/>
      <c r="N25" s="5"/>
      <c r="T25" s="5"/>
      <c r="U25" s="5"/>
      <c r="V25" s="5"/>
      <c r="W25" s="5"/>
      <c r="X25" s="5"/>
    </row>
    <row r="26" customFormat="false" ht="20.25" hidden="false" customHeight="false" outlineLevel="0" collapsed="false">
      <c r="A26" s="30"/>
      <c r="B26" s="11"/>
      <c r="C26" s="31" t="s">
        <v>15</v>
      </c>
      <c r="D26" s="32" t="s">
        <v>16</v>
      </c>
      <c r="E26" s="33"/>
      <c r="F26" s="34"/>
      <c r="G26" s="34"/>
      <c r="H26" s="5"/>
      <c r="I26" s="5"/>
      <c r="J26" s="5"/>
      <c r="K26" s="5"/>
      <c r="L26" s="5"/>
      <c r="M26" s="5"/>
      <c r="N26" s="5"/>
      <c r="T26" s="5"/>
      <c r="U26" s="5"/>
      <c r="V26" s="5"/>
      <c r="W26" s="5"/>
      <c r="X26" s="5"/>
    </row>
    <row r="27" customFormat="false" ht="16.5" hidden="false" customHeight="false" outlineLevel="0" collapsed="false">
      <c r="A27" s="35"/>
      <c r="B27" s="36"/>
      <c r="C27" s="37" t="s">
        <v>17</v>
      </c>
      <c r="D27" s="37" t="s">
        <v>18</v>
      </c>
      <c r="E27" s="38" t="s">
        <v>19</v>
      </c>
      <c r="F27" s="39"/>
      <c r="G27" s="39"/>
      <c r="H27" s="0"/>
      <c r="I27" s="0"/>
      <c r="J27" s="0"/>
      <c r="K27" s="0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</row>
    <row r="28" customFormat="false" ht="16.5" hidden="false" customHeight="false" outlineLevel="0" collapsed="false">
      <c r="A28" s="40" t="s">
        <v>20</v>
      </c>
      <c r="B28" s="41"/>
      <c r="C28" s="42" t="e">
        <f aca="false">#REF!</f>
        <v>#REF!</v>
      </c>
      <c r="D28" s="43" t="n">
        <f aca="false">Debt!J114</f>
        <v>0</v>
      </c>
      <c r="E28" s="44" t="n">
        <f aca="false">Debt!J113</f>
        <v>0</v>
      </c>
      <c r="F28" s="39"/>
      <c r="G28" s="39"/>
      <c r="H28" s="0"/>
      <c r="I28" s="0"/>
      <c r="J28" s="0"/>
      <c r="K28" s="0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</row>
    <row r="29" customFormat="false" ht="15.75" hidden="false" customHeight="false" outlineLevel="0" collapsed="false">
      <c r="H29" s="0"/>
      <c r="I29" s="0"/>
      <c r="J29" s="0"/>
      <c r="K29" s="0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</row>
    <row r="30" customFormat="false" ht="15.75" hidden="false" customHeight="false" outlineLevel="0" collapsed="false">
      <c r="A30" s="0"/>
      <c r="B30" s="0"/>
      <c r="C30" s="0"/>
      <c r="D30" s="0"/>
      <c r="E30" s="0"/>
      <c r="H30" s="0"/>
      <c r="I30" s="0"/>
      <c r="J30" s="0"/>
      <c r="K30" s="0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</row>
    <row r="31" customFormat="false" ht="13.5" hidden="false" customHeight="false" outlineLevel="0" collapsed="false">
      <c r="A31" s="0"/>
      <c r="B31" s="0"/>
      <c r="C31" s="0"/>
      <c r="D31" s="0"/>
      <c r="E31" s="0"/>
    </row>
    <row r="32" customFormat="false" ht="15.75" hidden="false" customHeight="false" outlineLevel="0" collapsed="false">
      <c r="A32" s="45" t="s">
        <v>21</v>
      </c>
      <c r="B32" s="11"/>
      <c r="C32" s="31" t="s">
        <v>15</v>
      </c>
      <c r="D32" s="32" t="s">
        <v>16</v>
      </c>
      <c r="E32" s="33"/>
    </row>
    <row r="33" customFormat="false" ht="16.5" hidden="false" customHeight="false" outlineLevel="0" collapsed="false">
      <c r="A33" s="46" t="s">
        <v>22</v>
      </c>
      <c r="B33" s="34" t="s">
        <v>23</v>
      </c>
      <c r="C33" s="34" t="s">
        <v>17</v>
      </c>
      <c r="D33" s="34" t="s">
        <v>18</v>
      </c>
      <c r="E33" s="47" t="s">
        <v>19</v>
      </c>
    </row>
    <row r="34" customFormat="false" ht="15.75" hidden="false" customHeight="false" outlineLevel="0" collapsed="false">
      <c r="A34" s="48"/>
      <c r="B34" s="11"/>
      <c r="C34" s="49"/>
      <c r="D34" s="50"/>
      <c r="E34" s="51"/>
    </row>
    <row r="35" customFormat="false" ht="12.75" hidden="false" customHeight="false" outlineLevel="0" collapsed="false">
      <c r="A35" s="52"/>
      <c r="B35" s="39"/>
      <c r="C35" s="39"/>
      <c r="D35" s="39"/>
      <c r="E35" s="53"/>
    </row>
    <row r="36" customFormat="false" ht="12.75" hidden="false" customHeight="false" outlineLevel="0" collapsed="false">
      <c r="A36" s="52"/>
      <c r="B36" s="39"/>
      <c r="C36" s="39"/>
      <c r="D36" s="39"/>
      <c r="E36" s="53"/>
    </row>
    <row r="37" customFormat="false" ht="12.75" hidden="false" customHeight="false" outlineLevel="0" collapsed="false">
      <c r="A37" s="52"/>
      <c r="B37" s="39"/>
      <c r="C37" s="39"/>
      <c r="D37" s="39"/>
      <c r="E37" s="53"/>
    </row>
    <row r="38" customFormat="false" ht="13.5" hidden="false" customHeight="false" outlineLevel="0" collapsed="false">
      <c r="A38" s="54"/>
      <c r="B38" s="36"/>
      <c r="C38" s="36"/>
      <c r="D38" s="36"/>
      <c r="E38" s="5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>&amp;L&amp;T, &amp;D&amp;C&amp;F&amp;RPage &amp;P</oddFoot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F313"/>
  <sheetViews>
    <sheetView showFormulas="false" showGridLines="false" showRowColHeaders="true" showZeros="true" rightToLeft="false" tabSelected="false" showOutlineSymbols="true" defaultGridColor="true" view="normal" topLeftCell="C14" colorId="64" zoomScale="75" zoomScaleNormal="75" zoomScalePageLayoutView="100" workbookViewId="0">
      <selection pane="topLeft" activeCell="E23" activeCellId="0" sqref="E23"/>
    </sheetView>
  </sheetViews>
  <sheetFormatPr defaultColWidth="10.5625" defaultRowHeight="11.25" customHeight="true" zeroHeight="false" outlineLevelRow="0" outlineLevelCol="0"/>
  <cols>
    <col collapsed="false" customWidth="true" hidden="false" outlineLevel="0" max="1" min="1" style="511" width="13.41"/>
    <col collapsed="false" customWidth="false" hidden="false" outlineLevel="0" max="2" min="2" style="511" width="10.56"/>
    <col collapsed="false" customWidth="true" hidden="false" outlineLevel="0" max="3" min="3" style="511" width="18.28"/>
    <col collapsed="false" customWidth="true" hidden="false" outlineLevel="0" max="4" min="4" style="511" width="16.99"/>
    <col collapsed="false" customWidth="true" hidden="false" outlineLevel="0" max="5" min="5" style="511" width="19.14"/>
    <col collapsed="false" customWidth="true" hidden="false" outlineLevel="0" max="6" min="6" style="511" width="18.14"/>
    <col collapsed="false" customWidth="true" hidden="false" outlineLevel="0" max="8" min="7" style="511" width="16.99"/>
    <col collapsed="false" customWidth="true" hidden="false" outlineLevel="0" max="9" min="9" style="511" width="16.13"/>
    <col collapsed="false" customWidth="false" hidden="false" outlineLevel="0" max="16" min="10" style="511" width="10.56"/>
    <col collapsed="false" customWidth="false" hidden="false" outlineLevel="0" max="257" min="17" style="512" width="10.56"/>
  </cols>
  <sheetData>
    <row r="1" customFormat="false" ht="20.25" hidden="false" customHeight="false" outlineLevel="0" collapsed="false">
      <c r="A1" s="513" t="str">
        <f aca="false">Assumptions!B3</f>
        <v>PROJECT NAME: SANTEE COOPER</v>
      </c>
      <c r="B1" s="514"/>
      <c r="C1" s="515"/>
      <c r="D1" s="516"/>
      <c r="E1" s="517"/>
      <c r="F1" s="518"/>
      <c r="G1" s="519"/>
      <c r="Q1" s="520"/>
      <c r="R1" s="520"/>
    </row>
    <row r="2" customFormat="false" ht="12.75" hidden="false" customHeight="false" outlineLevel="0" collapsed="false">
      <c r="A2" s="521" t="s">
        <v>377</v>
      </c>
      <c r="B2" s="522"/>
      <c r="C2" s="523"/>
      <c r="D2" s="524"/>
      <c r="E2" s="517"/>
      <c r="F2" s="518"/>
      <c r="G2" s="519"/>
      <c r="Q2" s="520"/>
      <c r="R2" s="520"/>
    </row>
    <row r="3" customFormat="false" ht="12.75" hidden="false" customHeight="false" outlineLevel="0" collapsed="false">
      <c r="A3" s="118"/>
      <c r="B3" s="118"/>
      <c r="C3" s="198"/>
      <c r="D3" s="518"/>
      <c r="E3" s="518"/>
      <c r="F3" s="518"/>
      <c r="G3" s="519"/>
      <c r="Q3" s="520"/>
      <c r="R3" s="520"/>
    </row>
    <row r="4" customFormat="false" ht="11.45" hidden="false" customHeight="true" outlineLevel="0" collapsed="false">
      <c r="A4" s="525" t="s">
        <v>378</v>
      </c>
      <c r="B4" s="525"/>
      <c r="C4" s="518"/>
      <c r="D4" s="518"/>
      <c r="E4" s="518"/>
      <c r="F4" s="518"/>
      <c r="G4" s="519"/>
      <c r="Q4" s="520"/>
      <c r="R4" s="520"/>
    </row>
    <row r="5" customFormat="false" ht="11.45" hidden="false" customHeight="true" outlineLevel="0" collapsed="false">
      <c r="D5" s="526"/>
      <c r="E5" s="526"/>
      <c r="F5" s="526"/>
      <c r="G5" s="519"/>
      <c r="Q5" s="520"/>
      <c r="R5" s="520"/>
    </row>
    <row r="6" customFormat="false" ht="11.45" hidden="false" customHeight="true" outlineLevel="0" collapsed="false">
      <c r="A6" s="527"/>
      <c r="B6" s="528"/>
      <c r="C6" s="529"/>
      <c r="D6" s="530"/>
      <c r="E6" s="531"/>
      <c r="F6" s="518"/>
      <c r="Q6" s="520"/>
      <c r="R6" s="520"/>
    </row>
    <row r="7" customFormat="false" ht="11.45" hidden="false" customHeight="true" outlineLevel="0" collapsed="false">
      <c r="A7" s="532"/>
      <c r="B7" s="525"/>
      <c r="C7" s="533"/>
      <c r="D7" s="534"/>
      <c r="E7" s="535"/>
      <c r="Q7" s="520"/>
      <c r="R7" s="520"/>
    </row>
    <row r="8" customFormat="false" ht="11.45" hidden="false" customHeight="true" outlineLevel="0" collapsed="false">
      <c r="A8" s="532" t="s">
        <v>379</v>
      </c>
      <c r="B8" s="525"/>
      <c r="C8" s="533"/>
      <c r="D8" s="536" t="n">
        <f aca="false">Assumptions!C68</f>
        <v>0.0783</v>
      </c>
      <c r="E8" s="537"/>
      <c r="Q8" s="520"/>
      <c r="R8" s="520"/>
    </row>
    <row r="9" customFormat="false" ht="11.25" hidden="false" customHeight="false" outlineLevel="0" collapsed="false">
      <c r="A9" s="532" t="s">
        <v>380</v>
      </c>
      <c r="B9" s="525"/>
      <c r="C9" s="533"/>
      <c r="D9" s="538" t="n">
        <v>9</v>
      </c>
      <c r="E9" s="539"/>
      <c r="Q9" s="520"/>
      <c r="R9" s="520"/>
    </row>
    <row r="10" customFormat="false" ht="11.45" hidden="false" customHeight="true" outlineLevel="0" collapsed="false">
      <c r="A10" s="532" t="s">
        <v>381</v>
      </c>
      <c r="B10" s="525"/>
      <c r="C10" s="533"/>
      <c r="D10" s="536" t="n">
        <f aca="false">D8/12</f>
        <v>0.006525</v>
      </c>
      <c r="E10" s="533"/>
      <c r="Q10" s="520"/>
      <c r="R10" s="520"/>
    </row>
    <row r="11" customFormat="false" ht="11.45" hidden="false" customHeight="true" outlineLevel="0" collapsed="false">
      <c r="A11" s="540"/>
      <c r="B11" s="533"/>
      <c r="C11" s="533"/>
      <c r="D11" s="541"/>
      <c r="E11" s="539"/>
      <c r="Q11" s="520"/>
      <c r="R11" s="520"/>
    </row>
    <row r="12" customFormat="false" ht="11.45" hidden="false" customHeight="true" outlineLevel="0" collapsed="false">
      <c r="A12" s="542"/>
      <c r="B12" s="543"/>
      <c r="C12" s="544"/>
      <c r="D12" s="545"/>
      <c r="E12" s="533"/>
      <c r="Q12" s="520"/>
      <c r="R12" s="520"/>
    </row>
    <row r="13" customFormat="false" ht="11.45" hidden="false" customHeight="true" outlineLevel="0" collapsed="false">
      <c r="A13" s="540"/>
      <c r="B13" s="533"/>
      <c r="C13" s="533"/>
      <c r="D13" s="541"/>
      <c r="E13" s="546"/>
      <c r="G13" s="547"/>
      <c r="Q13" s="520"/>
      <c r="R13" s="520"/>
    </row>
    <row r="14" customFormat="false" ht="11.45" hidden="false" customHeight="true" outlineLevel="0" collapsed="false">
      <c r="A14" s="532"/>
      <c r="B14" s="525"/>
      <c r="C14" s="533"/>
      <c r="D14" s="548"/>
      <c r="E14" s="525"/>
      <c r="Q14" s="520"/>
      <c r="R14" s="520"/>
    </row>
    <row r="15" customFormat="false" ht="11.45" hidden="false" customHeight="true" outlineLevel="0" collapsed="false">
      <c r="A15" s="549"/>
      <c r="B15" s="550"/>
      <c r="C15" s="550"/>
      <c r="D15" s="551"/>
      <c r="E15" s="552"/>
      <c r="Q15" s="520"/>
      <c r="R15" s="520"/>
    </row>
    <row r="16" customFormat="false" ht="11.45" hidden="false" customHeight="true" outlineLevel="0" collapsed="false">
      <c r="A16" s="553" t="s">
        <v>382</v>
      </c>
      <c r="B16" s="554"/>
      <c r="C16" s="550"/>
      <c r="D16" s="555" t="n">
        <f aca="false">+I42</f>
        <v>2914.12318298427</v>
      </c>
      <c r="E16" s="552"/>
      <c r="H16" s="556"/>
      <c r="I16" s="556"/>
      <c r="J16" s="556"/>
      <c r="K16" s="556"/>
      <c r="L16" s="556"/>
      <c r="M16" s="556"/>
      <c r="N16" s="556"/>
      <c r="O16" s="556"/>
      <c r="P16" s="556"/>
      <c r="Q16" s="557"/>
      <c r="R16" s="557"/>
      <c r="S16" s="557"/>
      <c r="T16" s="557"/>
      <c r="U16" s="557"/>
      <c r="V16" s="557"/>
      <c r="W16" s="557"/>
      <c r="X16" s="557"/>
      <c r="Y16" s="557"/>
      <c r="Z16" s="557"/>
      <c r="AA16" s="557"/>
      <c r="AB16" s="557"/>
      <c r="AC16" s="557"/>
      <c r="AD16" s="557"/>
      <c r="AE16" s="557"/>
      <c r="AF16" s="557"/>
    </row>
    <row r="17" customFormat="false" ht="11.45" hidden="false" customHeight="true" outlineLevel="0" collapsed="false">
      <c r="A17" s="525"/>
      <c r="B17" s="525"/>
      <c r="C17" s="533"/>
      <c r="D17" s="552"/>
      <c r="E17" s="552"/>
      <c r="G17" s="558" t="n">
        <f aca="false">+G15*G14*225</f>
        <v>0</v>
      </c>
      <c r="Q17" s="511"/>
      <c r="R17" s="511"/>
      <c r="S17" s="511"/>
      <c r="T17" s="511"/>
      <c r="U17" s="511"/>
      <c r="V17" s="511"/>
      <c r="W17" s="511"/>
      <c r="X17" s="511"/>
      <c r="Y17" s="511"/>
      <c r="Z17" s="511"/>
    </row>
    <row r="18" customFormat="false" ht="22.5" hidden="false" customHeight="true" outlineLevel="0" collapsed="false">
      <c r="A18" s="525" t="s">
        <v>193</v>
      </c>
      <c r="B18" s="525"/>
      <c r="C18" s="559" t="n">
        <f aca="false">+Assumptions!E59</f>
        <v>36739</v>
      </c>
      <c r="D18" s="552"/>
      <c r="E18" s="552" t="n">
        <f aca="false">SUM(Assumptions!D21:D30)</f>
        <v>52010</v>
      </c>
      <c r="G18" s="560"/>
      <c r="H18" s="561"/>
      <c r="I18" s="562"/>
      <c r="J18" s="562"/>
      <c r="K18" s="562"/>
      <c r="L18" s="562"/>
      <c r="M18" s="562"/>
      <c r="N18" s="562"/>
      <c r="O18" s="562"/>
      <c r="P18" s="562"/>
      <c r="Q18" s="562"/>
      <c r="R18" s="562"/>
      <c r="S18" s="562"/>
      <c r="T18" s="562"/>
      <c r="U18" s="562"/>
      <c r="V18" s="562"/>
      <c r="W18" s="562"/>
      <c r="X18" s="562"/>
      <c r="Y18" s="562"/>
      <c r="Z18" s="562"/>
    </row>
    <row r="19" customFormat="false" ht="11.45" hidden="false" customHeight="true" outlineLevel="0" collapsed="false">
      <c r="A19" s="563" t="s">
        <v>383</v>
      </c>
      <c r="C19" s="564" t="s">
        <v>384</v>
      </c>
      <c r="D19" s="511" t="s">
        <v>385</v>
      </c>
      <c r="E19" s="511" t="s">
        <v>386</v>
      </c>
      <c r="F19" s="563" t="s">
        <v>387</v>
      </c>
      <c r="G19" s="565" t="s">
        <v>388</v>
      </c>
      <c r="H19" s="563" t="s">
        <v>389</v>
      </c>
      <c r="I19" s="566" t="s">
        <v>390</v>
      </c>
      <c r="Q19" s="520"/>
    </row>
    <row r="20" customFormat="false" ht="11.25" hidden="false" customHeight="false" outlineLevel="0" collapsed="false">
      <c r="A20" s="567"/>
      <c r="C20" s="567"/>
      <c r="F20" s="567"/>
      <c r="G20" s="567"/>
      <c r="H20" s="568"/>
      <c r="I20" s="569"/>
    </row>
    <row r="21" customFormat="false" ht="11.45" hidden="false" customHeight="true" outlineLevel="0" collapsed="false">
      <c r="A21" s="567"/>
      <c r="C21" s="567"/>
      <c r="F21" s="567"/>
      <c r="G21" s="567"/>
      <c r="H21" s="568"/>
      <c r="I21" s="569"/>
    </row>
    <row r="22" customFormat="false" ht="11.45" hidden="false" customHeight="true" outlineLevel="0" collapsed="false">
      <c r="A22" s="570" t="n">
        <v>0</v>
      </c>
      <c r="C22" s="570"/>
      <c r="F22" s="567" t="n">
        <v>0</v>
      </c>
      <c r="G22" s="567"/>
      <c r="H22" s="567" t="n">
        <v>0</v>
      </c>
      <c r="I22" s="541" t="n">
        <v>0</v>
      </c>
    </row>
    <row r="23" customFormat="false" ht="11.45" hidden="false" customHeight="true" outlineLevel="0" collapsed="false">
      <c r="A23" s="570" t="n">
        <v>1</v>
      </c>
      <c r="B23" s="571" t="n">
        <f aca="false">+C18</f>
        <v>36739</v>
      </c>
      <c r="C23" s="572" t="n">
        <f aca="false">+E23/$E$44</f>
        <v>0.0467866436827359</v>
      </c>
      <c r="E23" s="573" t="n">
        <f aca="false">+$E$18/$D$9</f>
        <v>5778.88888888889</v>
      </c>
      <c r="F23" s="574" t="n">
        <f aca="false">+E23+D23</f>
        <v>5778.88888888889</v>
      </c>
      <c r="G23" s="574" t="n">
        <f aca="false">G22+F23+H23</f>
        <v>5797.74251388889</v>
      </c>
      <c r="H23" s="574" t="n">
        <f aca="false">IF(A23&gt;D$9,0,(F23/2+G22)*$D$10)</f>
        <v>18.853625</v>
      </c>
      <c r="I23" s="575" t="n">
        <f aca="false">H23</f>
        <v>18.853625</v>
      </c>
    </row>
    <row r="24" customFormat="false" ht="11.45" hidden="false" customHeight="true" outlineLevel="0" collapsed="false">
      <c r="A24" s="570" t="n">
        <f aca="false">A23+1</f>
        <v>2</v>
      </c>
      <c r="B24" s="562" t="n">
        <v>36770</v>
      </c>
      <c r="C24" s="572" t="n">
        <f aca="false">+E24/$E$44</f>
        <v>0.0467866436827359</v>
      </c>
      <c r="E24" s="573" t="n">
        <f aca="false">+$E$18/$D$9</f>
        <v>5778.88888888889</v>
      </c>
      <c r="F24" s="574" t="n">
        <f aca="false">+E24+D24</f>
        <v>5778.88888888889</v>
      </c>
      <c r="G24" s="574" t="n">
        <f aca="false">G23+F24+H24</f>
        <v>11633.3152976809</v>
      </c>
      <c r="H24" s="574" t="n">
        <f aca="false">IF(A24&gt;D$9,0,(F24/2+G23)*$D$10)</f>
        <v>56.683894903125</v>
      </c>
      <c r="I24" s="575" t="n">
        <f aca="false">IF(A24&lt;=$D$9,H24+I23,I23)</f>
        <v>75.537519903125</v>
      </c>
    </row>
    <row r="25" customFormat="false" ht="11.45" hidden="false" customHeight="true" outlineLevel="0" collapsed="false">
      <c r="A25" s="570" t="n">
        <f aca="false">A24+1</f>
        <v>3</v>
      </c>
      <c r="B25" s="562" t="n">
        <v>36800</v>
      </c>
      <c r="C25" s="572" t="n">
        <f aca="false">+E25/$E$44</f>
        <v>0.0467866436827359</v>
      </c>
      <c r="D25" s="573" t="n">
        <v>0</v>
      </c>
      <c r="E25" s="573" t="n">
        <f aca="false">+$E$18/$D$9</f>
        <v>5778.88888888889</v>
      </c>
      <c r="F25" s="574" t="n">
        <f aca="false">+E25+D25</f>
        <v>5778.88888888889</v>
      </c>
      <c r="G25" s="574" t="n">
        <f aca="false">G24+F25+H25</f>
        <v>17506.9651938872</v>
      </c>
      <c r="H25" s="574" t="n">
        <f aca="false">IF(A25&gt;D$9,0,(F25/2+G24)*$D$10)</f>
        <v>94.7610073173679</v>
      </c>
      <c r="I25" s="575" t="n">
        <f aca="false">IF(A25&lt;=$D$9,H25+I24,I24)</f>
        <v>170.298527220493</v>
      </c>
    </row>
    <row r="26" customFormat="false" ht="11.45" hidden="false" customHeight="true" outlineLevel="0" collapsed="false">
      <c r="A26" s="570" t="n">
        <f aca="false">A25+1</f>
        <v>4</v>
      </c>
      <c r="B26" s="562" t="n">
        <v>36831</v>
      </c>
      <c r="C26" s="572" t="n">
        <f aca="false">+E26/$E$44</f>
        <v>0.0467866436827359</v>
      </c>
      <c r="D26" s="573" t="n">
        <v>0</v>
      </c>
      <c r="E26" s="573" t="n">
        <f aca="false">+$E$18/$D$9</f>
        <v>5778.88888888889</v>
      </c>
      <c r="F26" s="574" t="n">
        <f aca="false">+E26+D26</f>
        <v>5778.88888888889</v>
      </c>
      <c r="G26" s="574" t="n">
        <f aca="false">G25+F26+H26</f>
        <v>23418.9406556662</v>
      </c>
      <c r="H26" s="574" t="n">
        <f aca="false">IF(A26&gt;D$9,0,(F26/2+G25)*$D$10)</f>
        <v>133.086572890114</v>
      </c>
      <c r="I26" s="575" t="n">
        <f aca="false">IF(A26&lt;=$D$9,H26+I25,I25)</f>
        <v>303.385100110607</v>
      </c>
    </row>
    <row r="27" customFormat="false" ht="11.45" hidden="false" customHeight="true" outlineLevel="0" collapsed="false">
      <c r="A27" s="570" t="n">
        <f aca="false">A26+1</f>
        <v>5</v>
      </c>
      <c r="B27" s="562" t="n">
        <v>36861</v>
      </c>
      <c r="C27" s="572" t="n">
        <f aca="false">+E27/$E$44</f>
        <v>0.0467866436827359</v>
      </c>
      <c r="E27" s="573" t="n">
        <f aca="false">+$E$18/$D$9</f>
        <v>5778.88888888889</v>
      </c>
      <c r="F27" s="574" t="n">
        <f aca="false">+E27+D27</f>
        <v>5778.88888888889</v>
      </c>
      <c r="G27" s="574" t="n">
        <f aca="false">G26+F27+H27</f>
        <v>29369.4917573333</v>
      </c>
      <c r="H27" s="574" t="n">
        <f aca="false">IF(A27&gt;D$9,0,(F27/2+G26)*$D$10)</f>
        <v>171.662212778222</v>
      </c>
      <c r="I27" s="575" t="n">
        <f aca="false">IF(A27&lt;=$D$9,H27+I26,I26)</f>
        <v>475.047312888828</v>
      </c>
    </row>
    <row r="28" customFormat="false" ht="11.45" hidden="false" customHeight="true" outlineLevel="0" collapsed="false">
      <c r="A28" s="570" t="n">
        <f aca="false">A27+1</f>
        <v>6</v>
      </c>
      <c r="B28" s="562" t="n">
        <v>36892</v>
      </c>
      <c r="C28" s="572" t="n">
        <f aca="false">+E28/$E$44</f>
        <v>0.0467866436827359</v>
      </c>
      <c r="D28" s="576" t="n">
        <f aca="false">+$E$55*$E$69</f>
        <v>28509.516659053</v>
      </c>
      <c r="E28" s="573" t="n">
        <f aca="false">+$E$18/$D$9</f>
        <v>5778.88888888889</v>
      </c>
      <c r="F28" s="574" t="n">
        <f aca="false">+E28+D28</f>
        <v>34288.4055479418</v>
      </c>
      <c r="G28" s="574" t="n">
        <f aca="false">G27+F28+H28</f>
        <v>63961.3991620919</v>
      </c>
      <c r="H28" s="574" t="n">
        <f aca="false">IF(A28&gt;D$9,0,(F28/2+G27)*$D$10)</f>
        <v>303.50185681676</v>
      </c>
      <c r="I28" s="575" t="n">
        <f aca="false">IF(A28&lt;=$D$9,H28+I27,I27)</f>
        <v>778.549169705588</v>
      </c>
    </row>
    <row r="29" customFormat="false" ht="11.45" hidden="false" customHeight="true" outlineLevel="0" collapsed="false">
      <c r="A29" s="570" t="n">
        <f aca="false">A28+1</f>
        <v>7</v>
      </c>
      <c r="B29" s="562" t="n">
        <v>36923</v>
      </c>
      <c r="C29" s="572" t="n">
        <f aca="false">+E29/$E$44</f>
        <v>0.0467866436827359</v>
      </c>
      <c r="D29" s="576" t="n">
        <f aca="false">+$F$69*$F$55</f>
        <v>42996.2654961283</v>
      </c>
      <c r="E29" s="573" t="n">
        <f aca="false">+$E$18/$D$9</f>
        <v>5778.88888888889</v>
      </c>
      <c r="F29" s="574" t="n">
        <f aca="false">+E29+D29</f>
        <v>48775.1543850172</v>
      </c>
      <c r="G29" s="574" t="n">
        <f aca="false">G28+F29+H29</f>
        <v>113313.030617823</v>
      </c>
      <c r="H29" s="574" t="n">
        <f aca="false">IF(A29&gt;D$9,0,(F29/2+G28)*$D$10)</f>
        <v>576.477070713768</v>
      </c>
      <c r="I29" s="575" t="n">
        <f aca="false">IF(A29&lt;=$D$9,H29+I28,I28)</f>
        <v>1355.02624041936</v>
      </c>
    </row>
    <row r="30" customFormat="false" ht="11.45" hidden="false" customHeight="true" outlineLevel="0" collapsed="false">
      <c r="A30" s="570" t="n">
        <f aca="false">A29+1</f>
        <v>8</v>
      </c>
      <c r="B30" s="562" t="n">
        <v>36951</v>
      </c>
      <c r="C30" s="572" t="n">
        <f aca="false">+E30/$E$44</f>
        <v>0.0467866436827359</v>
      </c>
      <c r="E30" s="573" t="n">
        <f aca="false">+$E$18/$D$9</f>
        <v>5778.88888888889</v>
      </c>
      <c r="F30" s="574" t="n">
        <f aca="false">+E30+D30</f>
        <v>5778.88888888889</v>
      </c>
      <c r="G30" s="574" t="n">
        <f aca="false">G29+F30+H30</f>
        <v>119850.140656493</v>
      </c>
      <c r="H30" s="574" t="n">
        <f aca="false">IF(A30&gt;D$9,0,(F30/2+G29)*$D$10)</f>
        <v>758.221149781294</v>
      </c>
      <c r="I30" s="575" t="n">
        <f aca="false">IF(A30&lt;=$D$9,H30+I29,I29)</f>
        <v>2113.24739020065</v>
      </c>
    </row>
    <row r="31" customFormat="false" ht="11.45" hidden="false" customHeight="true" outlineLevel="0" collapsed="false">
      <c r="A31" s="570" t="n">
        <f aca="false">A30+1</f>
        <v>9</v>
      </c>
      <c r="B31" s="562" t="n">
        <v>36982</v>
      </c>
      <c r="C31" s="572" t="n">
        <f aca="false">+E31/$E$44</f>
        <v>0.0467866436827359</v>
      </c>
      <c r="E31" s="573" t="n">
        <f aca="false">+$E$18/$D$9</f>
        <v>5778.88888888889</v>
      </c>
      <c r="F31" s="574" t="n">
        <f aca="false">+E31+D31</f>
        <v>5778.88888888889</v>
      </c>
      <c r="G31" s="574" t="n">
        <f aca="false">G30+F31+H31</f>
        <v>126429.905338166</v>
      </c>
      <c r="H31" s="574" t="n">
        <f aca="false">IF(A31&gt;D$9,0,(F31/2+G30)*$D$10)</f>
        <v>800.875792783617</v>
      </c>
      <c r="I31" s="575" t="n">
        <f aca="false">IF(A31&lt;=$D$9,H31+I30,I30)</f>
        <v>2914.12318298427</v>
      </c>
    </row>
    <row r="32" customFormat="false" ht="11.45" hidden="false" customHeight="true" outlineLevel="0" collapsed="false">
      <c r="A32" s="570" t="n">
        <f aca="false">A31+1</f>
        <v>10</v>
      </c>
      <c r="B32" s="562" t="n">
        <v>37012</v>
      </c>
      <c r="C32" s="572" t="n">
        <f aca="false">+E32/$E$44</f>
        <v>0</v>
      </c>
      <c r="E32" s="573"/>
      <c r="F32" s="574" t="n">
        <f aca="false">+E32+D32</f>
        <v>0</v>
      </c>
      <c r="G32" s="574" t="n">
        <f aca="false">G31+F32+H32</f>
        <v>126429.905338166</v>
      </c>
      <c r="H32" s="574" t="n">
        <f aca="false">IF(A32&gt;D$9,0,(F32/2+G31)*$D$10)</f>
        <v>0</v>
      </c>
      <c r="I32" s="575" t="n">
        <f aca="false">IF(A32&lt;=$D$9,H32+I31,I31)</f>
        <v>2914.12318298427</v>
      </c>
    </row>
    <row r="33" customFormat="false" ht="11.45" hidden="false" customHeight="true" outlineLevel="0" collapsed="false">
      <c r="A33" s="570" t="n">
        <f aca="false">A32+1</f>
        <v>11</v>
      </c>
      <c r="B33" s="562" t="n">
        <v>37043</v>
      </c>
      <c r="C33" s="572" t="n">
        <f aca="false">+E33/$E$44</f>
        <v>0</v>
      </c>
      <c r="E33" s="573"/>
      <c r="F33" s="574" t="n">
        <f aca="false">+E33+D33</f>
        <v>0</v>
      </c>
      <c r="G33" s="574" t="n">
        <f aca="false">G32+F33+H33</f>
        <v>126429.905338166</v>
      </c>
      <c r="H33" s="574" t="n">
        <f aca="false">IF(A33&gt;D$9,0,(F33/2+G32)*$D$10)</f>
        <v>0</v>
      </c>
      <c r="I33" s="575" t="n">
        <f aca="false">IF(A33&lt;=$D$9,H33+I32,I32)</f>
        <v>2914.12318298427</v>
      </c>
    </row>
    <row r="34" customFormat="false" ht="11.45" hidden="false" customHeight="true" outlineLevel="0" collapsed="false">
      <c r="A34" s="570" t="n">
        <f aca="false">A33+1</f>
        <v>12</v>
      </c>
      <c r="B34" s="562" t="n">
        <v>37073</v>
      </c>
      <c r="C34" s="572" t="n">
        <f aca="false">+E34/$E$44</f>
        <v>0</v>
      </c>
      <c r="E34" s="573"/>
      <c r="F34" s="574" t="n">
        <f aca="false">+E34+D34</f>
        <v>0</v>
      </c>
      <c r="G34" s="574" t="n">
        <f aca="false">G33+F34+H34</f>
        <v>126429.905338166</v>
      </c>
      <c r="H34" s="574" t="n">
        <f aca="false">IF(A34&gt;D$9,0,(F34/2+G33)*$D$10)</f>
        <v>0</v>
      </c>
      <c r="I34" s="575" t="n">
        <f aca="false">IF(A34&lt;=$D$9,H34+I33,I33)</f>
        <v>2914.12318298427</v>
      </c>
    </row>
    <row r="35" customFormat="false" ht="11.45" hidden="false" customHeight="true" outlineLevel="0" collapsed="false">
      <c r="A35" s="570" t="n">
        <f aca="false">A34+1</f>
        <v>13</v>
      </c>
      <c r="B35" s="562" t="n">
        <v>37104</v>
      </c>
      <c r="C35" s="572" t="n">
        <f aca="false">+E35/$E$44</f>
        <v>0</v>
      </c>
      <c r="F35" s="574" t="n">
        <f aca="false">+E35+D35</f>
        <v>0</v>
      </c>
      <c r="G35" s="574" t="n">
        <f aca="false">G34+F35+H35</f>
        <v>126429.905338166</v>
      </c>
      <c r="H35" s="574" t="n">
        <f aca="false">IF(A35&gt;D$9,0,(F35/2+G34)*$D$10)</f>
        <v>0</v>
      </c>
      <c r="I35" s="575" t="n">
        <f aca="false">IF(A35&lt;=$D$9,H35+I34,I34)</f>
        <v>2914.12318298427</v>
      </c>
    </row>
    <row r="36" customFormat="false" ht="11.45" hidden="false" customHeight="true" outlineLevel="0" collapsed="false">
      <c r="A36" s="570" t="n">
        <f aca="false">A35+1</f>
        <v>14</v>
      </c>
      <c r="B36" s="562" t="n">
        <v>37135</v>
      </c>
      <c r="C36" s="572" t="n">
        <f aca="false">+E36/$E$44</f>
        <v>0</v>
      </c>
      <c r="F36" s="574" t="n">
        <f aca="false">+E36+D36</f>
        <v>0</v>
      </c>
      <c r="G36" s="574" t="n">
        <f aca="false">G35+F36+H36</f>
        <v>126429.905338166</v>
      </c>
      <c r="H36" s="574" t="n">
        <f aca="false">IF(A36&gt;D$9,0,(F36/2+G35)*$D$10)</f>
        <v>0</v>
      </c>
      <c r="I36" s="575" t="n">
        <f aca="false">IF(A36&lt;=$D$9,H36+I35,I35)</f>
        <v>2914.12318298427</v>
      </c>
    </row>
    <row r="37" customFormat="false" ht="11.45" hidden="false" customHeight="true" outlineLevel="0" collapsed="false">
      <c r="A37" s="570" t="n">
        <f aca="false">A36+1</f>
        <v>15</v>
      </c>
      <c r="B37" s="562" t="n">
        <v>37165</v>
      </c>
      <c r="C37" s="572" t="n">
        <f aca="false">+E37/$E$44</f>
        <v>0</v>
      </c>
      <c r="F37" s="574" t="n">
        <f aca="false">+E37+D37</f>
        <v>0</v>
      </c>
      <c r="G37" s="574" t="n">
        <f aca="false">G36+F37+H37</f>
        <v>126429.905338166</v>
      </c>
      <c r="H37" s="574" t="n">
        <f aca="false">IF(A37&gt;D$9,0,(F37/2+G36)*$D$10)</f>
        <v>0</v>
      </c>
      <c r="I37" s="575" t="n">
        <f aca="false">IF(A37&lt;=$D$9,H37+I36,I36)</f>
        <v>2914.12318298427</v>
      </c>
    </row>
    <row r="38" customFormat="false" ht="11.45" hidden="false" customHeight="true" outlineLevel="0" collapsed="false">
      <c r="A38" s="570" t="n">
        <f aca="false">A37+1</f>
        <v>16</v>
      </c>
      <c r="B38" s="562" t="n">
        <v>37196</v>
      </c>
      <c r="C38" s="572" t="n">
        <f aca="false">+E38/$E$44</f>
        <v>0</v>
      </c>
      <c r="F38" s="574" t="n">
        <f aca="false">+E38+D38</f>
        <v>0</v>
      </c>
      <c r="G38" s="574" t="n">
        <f aca="false">G37+F38+H38</f>
        <v>126429.905338166</v>
      </c>
      <c r="H38" s="574" t="n">
        <f aca="false">IF(A38&gt;D$9,0,(F38/2+G37)*$D$10)</f>
        <v>0</v>
      </c>
      <c r="I38" s="575" t="n">
        <f aca="false">IF(A38&lt;=$D$9,H38+I37,I37)</f>
        <v>2914.12318298427</v>
      </c>
    </row>
    <row r="39" customFormat="false" ht="11.45" hidden="false" customHeight="true" outlineLevel="0" collapsed="false">
      <c r="A39" s="570" t="n">
        <f aca="false">A38+1</f>
        <v>17</v>
      </c>
      <c r="B39" s="562" t="n">
        <v>37226</v>
      </c>
      <c r="C39" s="572" t="n">
        <f aca="false">+E39/$E$44</f>
        <v>0</v>
      </c>
      <c r="F39" s="574" t="n">
        <f aca="false">+E39+D39</f>
        <v>0</v>
      </c>
      <c r="G39" s="574" t="n">
        <f aca="false">G38+F39+H39</f>
        <v>126429.905338166</v>
      </c>
      <c r="H39" s="574" t="n">
        <f aca="false">IF(A39&gt;D$9,0,(F39/2+G38)*$D$10)</f>
        <v>0</v>
      </c>
      <c r="I39" s="575" t="n">
        <f aca="false">IF(A39&lt;=$D$9,H39+I38,I38)</f>
        <v>2914.12318298427</v>
      </c>
    </row>
    <row r="40" customFormat="false" ht="11.45" hidden="false" customHeight="true" outlineLevel="0" collapsed="false">
      <c r="A40" s="570" t="n">
        <f aca="false">A39+1</f>
        <v>18</v>
      </c>
      <c r="B40" s="562" t="n">
        <v>37257</v>
      </c>
      <c r="C40" s="572" t="n">
        <f aca="false">+E40/$E$44</f>
        <v>0</v>
      </c>
      <c r="F40" s="574" t="n">
        <f aca="false">+E40+D40</f>
        <v>0</v>
      </c>
      <c r="G40" s="574" t="n">
        <f aca="false">G39+F40+H40</f>
        <v>126429.905338166</v>
      </c>
      <c r="H40" s="574" t="n">
        <f aca="false">IF(A40&gt;D$9,0,(F40/2+G39)*$D$10)</f>
        <v>0</v>
      </c>
      <c r="I40" s="575" t="n">
        <f aca="false">IF(A40&lt;=$D$9,H40+I39,I39)</f>
        <v>2914.12318298427</v>
      </c>
    </row>
    <row r="41" customFormat="false" ht="11.45" hidden="false" customHeight="true" outlineLevel="0" collapsed="false">
      <c r="A41" s="570" t="n">
        <f aca="false">A40+1</f>
        <v>19</v>
      </c>
      <c r="B41" s="562" t="n">
        <v>37288</v>
      </c>
      <c r="C41" s="572" t="n">
        <f aca="false">+E41/$E$44</f>
        <v>0</v>
      </c>
      <c r="D41" s="540"/>
      <c r="E41" s="533"/>
      <c r="F41" s="574" t="n">
        <f aca="false">+E41+D41</f>
        <v>0</v>
      </c>
      <c r="G41" s="574" t="n">
        <f aca="false">G40+F41+H41</f>
        <v>126429.905338166</v>
      </c>
      <c r="H41" s="574" t="n">
        <f aca="false">IF(A41&gt;D$9,0,(F41/2+G40)*$D$10)</f>
        <v>0</v>
      </c>
      <c r="I41" s="575" t="n">
        <f aca="false">IF(A41&lt;=$D$9,H41+I40,I40)</f>
        <v>2914.12318298427</v>
      </c>
    </row>
    <row r="42" customFormat="false" ht="11.45" hidden="false" customHeight="true" outlineLevel="0" collapsed="false">
      <c r="A42" s="577" t="n">
        <f aca="false">A41+1</f>
        <v>20</v>
      </c>
      <c r="B42" s="562" t="n">
        <v>37135</v>
      </c>
      <c r="C42" s="572" t="n">
        <f aca="false">+E42/$E$44</f>
        <v>0</v>
      </c>
      <c r="D42" s="549"/>
      <c r="E42" s="550"/>
      <c r="F42" s="578" t="n">
        <f aca="false">+E42+D42</f>
        <v>0</v>
      </c>
      <c r="G42" s="578" t="n">
        <f aca="false">G41+F42+H42</f>
        <v>126429.905338166</v>
      </c>
      <c r="H42" s="578" t="n">
        <f aca="false">IF(A42&gt;D$9,0,(F42/2+G41)*$D$10)</f>
        <v>0</v>
      </c>
      <c r="I42" s="579" t="n">
        <f aca="false">IF(A42&lt;=$D$9,H42+I41,I41)</f>
        <v>2914.12318298427</v>
      </c>
    </row>
    <row r="43" customFormat="false" ht="11.45" hidden="false" customHeight="true" outlineLevel="0" collapsed="false">
      <c r="A43" s="0"/>
      <c r="B43" s="424" t="n">
        <f aca="false">SUM(C23:C42)</f>
        <v>0.421079793144623</v>
      </c>
      <c r="D43" s="573" t="n">
        <f aca="false">+SUM(D23:D42)</f>
        <v>71505.7821551813</v>
      </c>
      <c r="E43" s="452" t="n">
        <f aca="false">+SUM(E23:E42)</f>
        <v>52010</v>
      </c>
      <c r="F43" s="391" t="n">
        <f aca="false">+SUM(F22:F42)</f>
        <v>123515.782155181</v>
      </c>
      <c r="G43" s="0"/>
      <c r="H43" s="0"/>
      <c r="Q43" s="520"/>
    </row>
    <row r="44" customFormat="false" ht="11.45" hidden="false" customHeight="true" outlineLevel="0" collapsed="false">
      <c r="A44" s="0"/>
      <c r="B44" s="0"/>
      <c r="C44" s="0"/>
      <c r="D44" s="0"/>
      <c r="E44" s="391" t="n">
        <f aca="false">SUM(D43:E43)</f>
        <v>123515.782155181</v>
      </c>
      <c r="F44" s="0"/>
      <c r="G44" s="1"/>
      <c r="H44" s="1"/>
      <c r="Q44" s="520"/>
    </row>
    <row r="45" customFormat="false" ht="11.45" hidden="false" customHeight="true" outlineLevel="0" collapsed="false">
      <c r="A45" s="0"/>
      <c r="B45" s="0"/>
      <c r="C45" s="0"/>
      <c r="D45" s="0"/>
      <c r="E45" s="0"/>
      <c r="F45" s="0"/>
      <c r="G45" s="1"/>
      <c r="H45" s="1"/>
      <c r="Q45" s="520"/>
    </row>
    <row r="46" customFormat="false" ht="11.45" hidden="false" customHeight="true" outlineLevel="0" collapsed="false">
      <c r="A46" s="0"/>
      <c r="B46" s="0"/>
      <c r="C46" s="0"/>
      <c r="D46" s="0"/>
      <c r="E46" s="0"/>
      <c r="F46" s="0"/>
      <c r="G46" s="1"/>
      <c r="H46" s="1"/>
      <c r="Q46" s="520"/>
    </row>
    <row r="47" customFormat="false" ht="11.45" hidden="false" customHeight="true" outlineLevel="0" collapsed="false">
      <c r="A47" s="410" t="s">
        <v>391</v>
      </c>
      <c r="C47" s="1"/>
      <c r="D47" s="1"/>
      <c r="E47" s="1"/>
      <c r="F47" s="1"/>
      <c r="G47" s="1"/>
      <c r="H47" s="1"/>
      <c r="Q47" s="520"/>
    </row>
    <row r="48" customFormat="false" ht="11.45" hidden="false" customHeight="true" outlineLevel="0" collapsed="false">
      <c r="A48" s="1" t="s">
        <v>392</v>
      </c>
      <c r="B48" s="1"/>
      <c r="C48" s="580" t="n">
        <v>14012</v>
      </c>
      <c r="D48" s="321" t="s">
        <v>71</v>
      </c>
      <c r="E48" s="581" t="n">
        <v>5</v>
      </c>
      <c r="F48" s="580" t="n">
        <f aca="false">C48*E48</f>
        <v>70060</v>
      </c>
      <c r="G48" s="1"/>
      <c r="H48" s="1"/>
      <c r="Q48" s="520"/>
    </row>
    <row r="49" customFormat="false" ht="11.45" hidden="false" customHeight="true" outlineLevel="0" collapsed="false">
      <c r="D49" s="1"/>
      <c r="E49" s="1"/>
      <c r="F49" s="1"/>
      <c r="G49" s="1"/>
      <c r="H49" s="1"/>
      <c r="Q49" s="520"/>
    </row>
    <row r="50" customFormat="false" ht="11.45" hidden="false" customHeight="true" outlineLevel="0" collapsed="false">
      <c r="A50" s="1" t="s">
        <v>393</v>
      </c>
      <c r="B50" s="1"/>
      <c r="C50" s="582" t="n">
        <v>0.0575</v>
      </c>
      <c r="D50" s="582" t="n">
        <v>0.00625</v>
      </c>
      <c r="E50" s="470" t="n">
        <f aca="false">C50+D50</f>
        <v>0.06375</v>
      </c>
      <c r="F50" s="583" t="n">
        <f aca="false">E50/365.25</f>
        <v>0.000174537987679671</v>
      </c>
      <c r="G50" s="1"/>
      <c r="H50" s="1"/>
      <c r="Q50" s="520"/>
    </row>
    <row r="51" customFormat="false" ht="11.45" hidden="false" customHeight="true" outlineLevel="0" collapsed="false">
      <c r="A51" s="1" t="s">
        <v>394</v>
      </c>
      <c r="B51" s="1"/>
      <c r="C51" s="1"/>
      <c r="D51" s="1"/>
      <c r="E51" s="321" t="s">
        <v>395</v>
      </c>
      <c r="F51" s="321" t="s">
        <v>396</v>
      </c>
      <c r="G51" s="1"/>
      <c r="H51" s="1"/>
      <c r="Q51" s="520"/>
    </row>
    <row r="52" customFormat="false" ht="11.45" hidden="false" customHeight="true" outlineLevel="0" collapsed="false">
      <c r="A52" s="1"/>
      <c r="B52" s="1"/>
      <c r="C52" s="1"/>
      <c r="D52" s="1"/>
      <c r="E52" s="1"/>
      <c r="F52" s="1"/>
      <c r="G52" s="1"/>
      <c r="H52" s="1"/>
      <c r="Q52" s="520"/>
    </row>
    <row r="53" customFormat="false" ht="11.45" hidden="false" customHeight="true" outlineLevel="0" collapsed="false">
      <c r="A53" s="1"/>
      <c r="B53" s="1"/>
      <c r="C53" s="1"/>
      <c r="D53" s="1"/>
      <c r="E53" s="1"/>
      <c r="F53" s="1"/>
      <c r="G53" s="1"/>
      <c r="H53" s="1"/>
      <c r="Q53" s="520"/>
    </row>
    <row r="54" customFormat="false" ht="11.45" hidden="false" customHeight="true" outlineLevel="0" collapsed="false">
      <c r="D54" s="321" t="s">
        <v>397</v>
      </c>
      <c r="E54" s="584" t="n">
        <v>36890</v>
      </c>
      <c r="F54" s="584" t="n">
        <v>36921</v>
      </c>
      <c r="G54" s="1"/>
      <c r="H54" s="1"/>
      <c r="Q54" s="520"/>
    </row>
    <row r="55" customFormat="false" ht="11.45" hidden="false" customHeight="true" outlineLevel="0" collapsed="false">
      <c r="D55" s="321" t="s">
        <v>71</v>
      </c>
      <c r="E55" s="581" t="n">
        <v>2</v>
      </c>
      <c r="F55" s="581" t="n">
        <v>3</v>
      </c>
      <c r="G55" s="1"/>
      <c r="H55" s="1"/>
      <c r="Q55" s="520"/>
    </row>
    <row r="56" customFormat="false" ht="11.45" hidden="false" customHeight="true" outlineLevel="0" collapsed="false">
      <c r="A56" s="1"/>
      <c r="B56" s="1"/>
      <c r="C56" s="1"/>
      <c r="D56" s="1"/>
      <c r="E56" s="1"/>
      <c r="F56" s="1"/>
      <c r="G56" s="1"/>
      <c r="H56" s="1"/>
      <c r="Q56" s="520"/>
    </row>
    <row r="57" customFormat="false" ht="11.45" hidden="false" customHeight="true" outlineLevel="0" collapsed="false">
      <c r="A57" s="426" t="s">
        <v>398</v>
      </c>
      <c r="B57" s="426" t="s">
        <v>63</v>
      </c>
      <c r="C57" s="321" t="s">
        <v>399</v>
      </c>
      <c r="D57" s="1"/>
      <c r="E57" s="585" t="s">
        <v>400</v>
      </c>
      <c r="F57" s="585" t="s">
        <v>400</v>
      </c>
      <c r="G57" s="1"/>
      <c r="H57" s="1"/>
      <c r="Q57" s="520"/>
    </row>
    <row r="58" customFormat="false" ht="12.75" hidden="false" customHeight="false" outlineLevel="0" collapsed="false">
      <c r="A58" s="586" t="n">
        <v>36466</v>
      </c>
      <c r="B58" s="587" t="n">
        <v>0.05</v>
      </c>
      <c r="C58" s="588" t="n">
        <f aca="false">B58*$C$48</f>
        <v>700.6</v>
      </c>
      <c r="D58" s="1"/>
      <c r="E58" s="589" t="n">
        <f aca="false">+C58*(1+$F$50)^($E$54-A58)</f>
        <v>754.409074511698</v>
      </c>
      <c r="F58" s="334" t="n">
        <f aca="false">+C58*(1+$F$50)^($F$54-A58)</f>
        <v>758.501643464222</v>
      </c>
      <c r="G58" s="1"/>
      <c r="Q58" s="520"/>
      <c r="R58" s="520"/>
    </row>
    <row r="59" customFormat="false" ht="12.75" hidden="false" customHeight="false" outlineLevel="0" collapsed="false">
      <c r="A59" s="586" t="n">
        <v>36861</v>
      </c>
      <c r="B59" s="587" t="n">
        <v>0.1</v>
      </c>
      <c r="C59" s="588" t="n">
        <f aca="false">B59*$C$48</f>
        <v>1401.2</v>
      </c>
      <c r="D59" s="1"/>
      <c r="E59" s="589" t="n">
        <f aca="false">+C59*(1+$F$50)^($E$54-A59)</f>
        <v>1408.30967377626</v>
      </c>
      <c r="F59" s="334" t="n">
        <f aca="false">+C59*(1+$F$50)^($F$54-A59)</f>
        <v>1415.94956656276</v>
      </c>
      <c r="G59" s="1"/>
      <c r="Q59" s="520"/>
      <c r="R59" s="520"/>
    </row>
    <row r="60" customFormat="false" ht="12.75" hidden="false" customHeight="false" outlineLevel="0" collapsed="false">
      <c r="A60" s="586" t="n">
        <v>36600</v>
      </c>
      <c r="B60" s="587" t="n">
        <v>0.1</v>
      </c>
      <c r="C60" s="588" t="n">
        <f aca="false">B60*$C$48</f>
        <v>1401.2</v>
      </c>
      <c r="D60" s="1"/>
      <c r="E60" s="589" t="n">
        <f aca="false">+C60*(1+$F$50)^($E$54-A60)</f>
        <v>1473.94224731482</v>
      </c>
      <c r="F60" s="334" t="n">
        <f aca="false">+C60*(1+$F$50)^($F$54-A60)</f>
        <v>1481.93818808883</v>
      </c>
      <c r="G60" s="1"/>
      <c r="Q60" s="520"/>
      <c r="R60" s="520"/>
    </row>
    <row r="61" customFormat="false" ht="12.75" hidden="false" customHeight="false" outlineLevel="0" collapsed="false">
      <c r="A61" s="586" t="n">
        <v>36692</v>
      </c>
      <c r="B61" s="587" t="n">
        <v>0.1</v>
      </c>
      <c r="C61" s="588" t="n">
        <f aca="false">B61*$C$48</f>
        <v>1401.2</v>
      </c>
      <c r="D61" s="1"/>
      <c r="E61" s="589" t="n">
        <f aca="false">+C61*(1+$F$50)^($E$54-A61)</f>
        <v>1450.46546949749</v>
      </c>
      <c r="F61" s="334" t="n">
        <f aca="false">+C61*(1+$F$50)^($F$54-A61)</f>
        <v>1458.3340518724</v>
      </c>
      <c r="G61" s="1"/>
      <c r="Q61" s="520"/>
      <c r="R61" s="520"/>
    </row>
    <row r="62" customFormat="false" ht="12.75" hidden="false" customHeight="false" outlineLevel="0" collapsed="false">
      <c r="A62" s="586" t="n">
        <v>36753</v>
      </c>
      <c r="B62" s="587" t="n">
        <v>0.1</v>
      </c>
      <c r="C62" s="588" t="n">
        <f aca="false">B62*$C$48</f>
        <v>1401.2</v>
      </c>
      <c r="D62" s="1"/>
      <c r="E62" s="589" t="n">
        <f aca="false">+C62*(1+$F$50)^($E$54-A62)</f>
        <v>1435.10587954637</v>
      </c>
      <c r="F62" s="334" t="n">
        <f aca="false">+C62*(1+$F$50)^($F$54-A62)</f>
        <v>1442.8911381874</v>
      </c>
      <c r="G62" s="1"/>
      <c r="Q62" s="520"/>
      <c r="R62" s="520"/>
    </row>
    <row r="63" customFormat="false" ht="12.75" hidden="false" customHeight="false" outlineLevel="0" collapsed="false">
      <c r="A63" s="586" t="n">
        <v>36784</v>
      </c>
      <c r="B63" s="587" t="n">
        <v>0.1</v>
      </c>
      <c r="C63" s="588" t="n">
        <f aca="false">B63*$C$48</f>
        <v>1401.2</v>
      </c>
      <c r="D63" s="1"/>
      <c r="E63" s="589" t="n">
        <f aca="false">+C63*(1+$F$50)^($E$54-A63)</f>
        <v>1427.36262702104</v>
      </c>
      <c r="F63" s="334" t="n">
        <f aca="false">+C63*(1+$F$50)^($F$54-A63)</f>
        <v>1435.10587954637</v>
      </c>
      <c r="G63" s="1"/>
      <c r="Q63" s="520"/>
      <c r="R63" s="520"/>
    </row>
    <row r="64" customFormat="false" ht="12.75" hidden="false" customHeight="false" outlineLevel="0" collapsed="false">
      <c r="A64" s="586" t="n">
        <v>36814</v>
      </c>
      <c r="B64" s="587" t="n">
        <v>0.1</v>
      </c>
      <c r="C64" s="588" t="n">
        <f aca="false">B64*$C$48</f>
        <v>1401.2</v>
      </c>
      <c r="D64" s="1"/>
      <c r="E64" s="589" t="n">
        <f aca="false">+C64*(1+$F$50)^($E$54-A64)</f>
        <v>1419.90893876437</v>
      </c>
      <c r="F64" s="334" t="n">
        <f aca="false">+C64*(1+$F$50)^($F$54-A64)</f>
        <v>1427.61175602165</v>
      </c>
      <c r="Q64" s="520"/>
      <c r="R64" s="520"/>
    </row>
    <row r="65" customFormat="false" ht="12.75" hidden="false" customHeight="false" outlineLevel="0" collapsed="false">
      <c r="A65" s="586" t="n">
        <v>36845</v>
      </c>
      <c r="B65" s="587" t="n">
        <v>0.1</v>
      </c>
      <c r="C65" s="588" t="n">
        <f aca="false">B65*$C$48</f>
        <v>1401.2</v>
      </c>
      <c r="E65" s="589" t="n">
        <f aca="false">+C65*(1+$F$50)^($E$54-A65)</f>
        <v>1412.24768280234</v>
      </c>
      <c r="F65" s="334" t="n">
        <f aca="false">+C65*(1+$F$50)^($F$54-A65)</f>
        <v>1419.90893876437</v>
      </c>
      <c r="Q65" s="520"/>
      <c r="R65" s="520"/>
    </row>
    <row r="66" customFormat="false" ht="12.75" hidden="false" customHeight="false" outlineLevel="0" collapsed="false">
      <c r="A66" s="586" t="n">
        <v>36906</v>
      </c>
      <c r="B66" s="587" t="n">
        <v>0.1</v>
      </c>
      <c r="C66" s="588" t="n">
        <f aca="false">B66*$C$48</f>
        <v>1401.2</v>
      </c>
      <c r="E66" s="589" t="n">
        <f aca="false">+C66*(1+$F$50)^($E$54-A66)</f>
        <v>1397.29279709604</v>
      </c>
      <c r="F66" s="334" t="n">
        <f aca="false">+C66*(1+$F$50)^($F$54-A66)</f>
        <v>1404.87292479093</v>
      </c>
      <c r="Q66" s="520"/>
      <c r="R66" s="520"/>
    </row>
    <row r="67" customFormat="false" ht="12.75" hidden="false" customHeight="false" outlineLevel="0" collapsed="false">
      <c r="A67" s="586" t="n">
        <v>36937</v>
      </c>
      <c r="B67" s="587" t="n">
        <v>0.1</v>
      </c>
      <c r="C67" s="588" t="n">
        <f aca="false">B67*$C$48</f>
        <v>1401.2</v>
      </c>
      <c r="E67" s="589" t="n">
        <f aca="false">+C67*(1+$F$50)^($E$54-A67)</f>
        <v>1389.75356871301</v>
      </c>
      <c r="F67" s="334" t="n">
        <f aca="false">+C67*(1+$F$50)^($F$54-A67)</f>
        <v>1397.29279709604</v>
      </c>
      <c r="G67" s="590"/>
      <c r="H67" s="590"/>
      <c r="I67" s="590"/>
      <c r="J67" s="590"/>
      <c r="K67" s="590"/>
      <c r="L67" s="590"/>
      <c r="M67" s="590"/>
      <c r="N67" s="590"/>
      <c r="O67" s="590"/>
      <c r="P67" s="590"/>
      <c r="Q67" s="591"/>
      <c r="R67" s="591"/>
      <c r="S67" s="591"/>
      <c r="T67" s="591"/>
      <c r="U67" s="591"/>
      <c r="V67" s="591"/>
      <c r="W67" s="591"/>
      <c r="X67" s="591"/>
      <c r="Y67" s="591"/>
      <c r="Z67" s="591"/>
      <c r="AA67" s="591"/>
      <c r="AB67" s="591"/>
      <c r="AC67" s="591"/>
      <c r="AD67" s="591"/>
      <c r="AE67" s="591"/>
    </row>
    <row r="68" customFormat="false" ht="12.75" hidden="false" customHeight="false" outlineLevel="0" collapsed="false">
      <c r="A68" s="586" t="n">
        <v>37011</v>
      </c>
      <c r="B68" s="587" t="n">
        <v>0.05</v>
      </c>
      <c r="C68" s="588" t="n">
        <f aca="false">B68*$C$48</f>
        <v>700.6</v>
      </c>
      <c r="D68" s="590"/>
      <c r="E68" s="589" t="n">
        <f aca="false">+C68*(1+$F$50)^($E$54-A68)</f>
        <v>685.960370483036</v>
      </c>
      <c r="F68" s="334" t="n">
        <f aca="false">+C68*(1+$F$50)^($F$54-A68)</f>
        <v>689.681614314465</v>
      </c>
      <c r="G68" s="592"/>
      <c r="H68" s="592"/>
      <c r="I68" s="592"/>
      <c r="J68" s="592"/>
      <c r="K68" s="592"/>
      <c r="L68" s="592"/>
      <c r="M68" s="592"/>
      <c r="N68" s="592"/>
      <c r="O68" s="592"/>
      <c r="P68" s="592"/>
      <c r="Q68" s="593"/>
      <c r="R68" s="593"/>
      <c r="S68" s="593"/>
      <c r="T68" s="593"/>
      <c r="U68" s="593"/>
      <c r="V68" s="593"/>
      <c r="W68" s="593"/>
      <c r="X68" s="593"/>
      <c r="Y68" s="593"/>
      <c r="Z68" s="593"/>
      <c r="AA68" s="593"/>
      <c r="AB68" s="593"/>
      <c r="AC68" s="593"/>
      <c r="AD68" s="593"/>
      <c r="AE68" s="593"/>
    </row>
    <row r="69" customFormat="false" ht="11.25" hidden="false" customHeight="false" outlineLevel="0" collapsed="false">
      <c r="A69" s="525"/>
      <c r="B69" s="525"/>
      <c r="C69" s="594" t="n">
        <f aca="false">SUM(C58:C68)</f>
        <v>14012</v>
      </c>
      <c r="D69" s="592"/>
      <c r="E69" s="594" t="n">
        <f aca="false">SUM(E58:E68)</f>
        <v>14254.7583295265</v>
      </c>
      <c r="F69" s="594" t="n">
        <f aca="false">SUM(F58:F68)</f>
        <v>14332.0884987094</v>
      </c>
      <c r="G69" s="594"/>
      <c r="Q69" s="520"/>
      <c r="R69" s="520"/>
    </row>
    <row r="70" customFormat="false" ht="11.25" hidden="false" customHeight="false" outlineLevel="0" collapsed="false">
      <c r="Q70" s="520"/>
      <c r="R70" s="520"/>
    </row>
    <row r="71" customFormat="false" ht="11.25" hidden="false" customHeight="false" outlineLevel="0" collapsed="false">
      <c r="Q71" s="520"/>
      <c r="R71" s="520"/>
    </row>
    <row r="72" customFormat="false" ht="11.25" hidden="false" customHeight="false" outlineLevel="0" collapsed="false">
      <c r="Q72" s="520"/>
      <c r="R72" s="520"/>
    </row>
    <row r="73" customFormat="false" ht="11.25" hidden="false" customHeight="false" outlineLevel="0" collapsed="false">
      <c r="Q73" s="520"/>
      <c r="R73" s="520"/>
    </row>
    <row r="74" customFormat="false" ht="11.25" hidden="false" customHeight="false" outlineLevel="0" collapsed="false">
      <c r="Q74" s="520"/>
      <c r="R74" s="520"/>
    </row>
    <row r="75" customFormat="false" ht="11.25" hidden="false" customHeight="false" outlineLevel="0" collapsed="false">
      <c r="Q75" s="520"/>
      <c r="R75" s="520"/>
    </row>
    <row r="76" customFormat="false" ht="11.25" hidden="false" customHeight="false" outlineLevel="0" collapsed="false">
      <c r="Q76" s="520"/>
      <c r="R76" s="520"/>
    </row>
    <row r="77" customFormat="false" ht="11.25" hidden="false" customHeight="false" outlineLevel="0" collapsed="false">
      <c r="Q77" s="520"/>
      <c r="R77" s="520"/>
    </row>
    <row r="78" customFormat="false" ht="11.25" hidden="false" customHeight="false" outlineLevel="0" collapsed="false">
      <c r="Q78" s="520"/>
      <c r="R78" s="520"/>
    </row>
    <row r="79" customFormat="false" ht="11.25" hidden="false" customHeight="false" outlineLevel="0" collapsed="false">
      <c r="Q79" s="520"/>
      <c r="R79" s="520"/>
    </row>
    <row r="80" customFormat="false" ht="11.25" hidden="false" customHeight="false" outlineLevel="0" collapsed="false">
      <c r="Q80" s="520"/>
      <c r="R80" s="520"/>
    </row>
    <row r="81" customFormat="false" ht="11.25" hidden="false" customHeight="false" outlineLevel="0" collapsed="false">
      <c r="Q81" s="520"/>
      <c r="R81" s="520"/>
    </row>
    <row r="82" customFormat="false" ht="12.75" hidden="false" customHeight="false" outlineLevel="0" collapsed="false">
      <c r="A82" s="525"/>
      <c r="B82" s="525"/>
      <c r="C82" s="533"/>
      <c r="D82" s="552"/>
      <c r="E82" s="552"/>
      <c r="G82" s="1"/>
      <c r="Q82" s="520"/>
      <c r="R82" s="520"/>
    </row>
    <row r="83" customFormat="false" ht="12.75" hidden="false" customHeight="false" outlineLevel="0" collapsed="false">
      <c r="A83" s="1"/>
      <c r="B83" s="1"/>
      <c r="C83" s="1"/>
      <c r="D83" s="1"/>
      <c r="E83" s="1"/>
      <c r="F83" s="1"/>
      <c r="G83" s="1"/>
      <c r="Q83" s="520"/>
      <c r="R83" s="520"/>
    </row>
    <row r="84" customFormat="false" ht="12.75" hidden="false" customHeight="false" outlineLevel="0" collapsed="false">
      <c r="A84" s="1"/>
      <c r="B84" s="1"/>
      <c r="C84" s="1"/>
      <c r="D84" s="1"/>
      <c r="E84" s="1"/>
      <c r="F84" s="1"/>
      <c r="G84" s="1"/>
      <c r="Q84" s="520"/>
      <c r="R84" s="520"/>
    </row>
    <row r="85" customFormat="false" ht="12.75" hidden="false" customHeight="false" outlineLevel="0" collapsed="false">
      <c r="A85" s="1"/>
      <c r="B85" s="1"/>
      <c r="C85" s="1"/>
      <c r="D85" s="1"/>
      <c r="E85" s="1"/>
      <c r="F85" s="1"/>
      <c r="G85" s="1"/>
      <c r="Q85" s="520"/>
      <c r="R85" s="520"/>
    </row>
    <row r="86" customFormat="false" ht="12.75" hidden="false" customHeight="false" outlineLevel="0" collapsed="false">
      <c r="A86" s="1"/>
      <c r="B86" s="1"/>
      <c r="C86" s="1"/>
      <c r="D86" s="1"/>
      <c r="E86" s="1"/>
      <c r="F86" s="1"/>
      <c r="G86" s="1"/>
      <c r="Q86" s="520"/>
      <c r="R86" s="520"/>
    </row>
    <row r="87" customFormat="false" ht="12.75" hidden="false" customHeight="false" outlineLevel="0" collapsed="false">
      <c r="A87" s="1"/>
      <c r="B87" s="1"/>
      <c r="C87" s="1"/>
      <c r="D87" s="1"/>
      <c r="E87" s="1"/>
      <c r="F87" s="1"/>
      <c r="G87" s="1"/>
      <c r="Q87" s="520"/>
      <c r="R87" s="520"/>
    </row>
    <row r="88" customFormat="false" ht="12.75" hidden="false" customHeight="false" outlineLevel="0" collapsed="false">
      <c r="A88" s="1"/>
      <c r="B88" s="1"/>
      <c r="C88" s="1"/>
      <c r="D88" s="1"/>
      <c r="E88" s="1"/>
      <c r="F88" s="1"/>
      <c r="G88" s="1"/>
      <c r="Q88" s="520"/>
      <c r="R88" s="520"/>
    </row>
    <row r="89" customFormat="false" ht="11.45" hidden="false" customHeight="true" outlineLevel="0" collapsed="false">
      <c r="A89" s="1"/>
      <c r="B89" s="1"/>
      <c r="C89" s="1"/>
      <c r="D89" s="1"/>
      <c r="E89" s="1"/>
      <c r="F89" s="1"/>
      <c r="Q89" s="520"/>
      <c r="R89" s="520"/>
    </row>
    <row r="90" customFormat="false" ht="11.45" hidden="false" customHeight="true" outlineLevel="0" collapsed="false">
      <c r="A90" s="525"/>
      <c r="B90" s="525"/>
      <c r="C90" s="533"/>
      <c r="D90" s="552"/>
      <c r="E90" s="552"/>
      <c r="Q90" s="520"/>
      <c r="R90" s="520"/>
      <c r="S90" s="520"/>
    </row>
    <row r="91" customFormat="false" ht="11.45" hidden="false" customHeight="true" outlineLevel="0" collapsed="false">
      <c r="A91" s="525"/>
      <c r="B91" s="525"/>
      <c r="C91" s="533"/>
      <c r="D91" s="533"/>
      <c r="E91" s="533"/>
      <c r="F91" s="552"/>
      <c r="G91" s="590"/>
      <c r="H91" s="590"/>
      <c r="I91" s="590"/>
      <c r="J91" s="590"/>
      <c r="K91" s="590"/>
      <c r="L91" s="590"/>
      <c r="M91" s="590"/>
      <c r="N91" s="590"/>
      <c r="O91" s="590"/>
      <c r="P91" s="590"/>
      <c r="Q91" s="591"/>
      <c r="R91" s="591"/>
      <c r="S91" s="591"/>
      <c r="T91" s="591"/>
      <c r="U91" s="591"/>
      <c r="V91" s="591"/>
      <c r="W91" s="591"/>
      <c r="X91" s="591"/>
      <c r="Y91" s="591"/>
      <c r="Z91" s="591"/>
      <c r="AA91" s="591"/>
      <c r="AB91" s="591"/>
      <c r="AC91" s="591"/>
      <c r="AD91" s="591"/>
      <c r="AE91" s="591"/>
      <c r="AF91" s="591"/>
    </row>
    <row r="92" customFormat="false" ht="11.45" hidden="false" customHeight="true" outlineLevel="0" collapsed="false">
      <c r="A92" s="533"/>
      <c r="B92" s="533"/>
      <c r="C92" s="525"/>
      <c r="D92" s="525"/>
      <c r="E92" s="525"/>
      <c r="F92" s="590"/>
      <c r="G92" s="592"/>
      <c r="H92" s="592"/>
      <c r="I92" s="592"/>
      <c r="J92" s="592"/>
      <c r="K92" s="592"/>
      <c r="L92" s="592"/>
      <c r="M92" s="592"/>
      <c r="N92" s="592"/>
      <c r="O92" s="592"/>
      <c r="P92" s="592"/>
      <c r="Q92" s="593"/>
      <c r="R92" s="593"/>
      <c r="S92" s="593"/>
      <c r="T92" s="593"/>
      <c r="U92" s="593"/>
      <c r="V92" s="593"/>
      <c r="W92" s="593"/>
      <c r="X92" s="593"/>
      <c r="Y92" s="593"/>
      <c r="Z92" s="593"/>
      <c r="AA92" s="593"/>
      <c r="AB92" s="593"/>
      <c r="AC92" s="593"/>
      <c r="AD92" s="593"/>
      <c r="AE92" s="593"/>
      <c r="AF92" s="593"/>
    </row>
    <row r="93" customFormat="false" ht="11.45" hidden="false" customHeight="true" outlineLevel="0" collapsed="false">
      <c r="A93" s="533"/>
      <c r="B93" s="533"/>
      <c r="C93" s="525"/>
      <c r="D93" s="525"/>
      <c r="E93" s="525"/>
      <c r="F93" s="592"/>
      <c r="Q93" s="520"/>
      <c r="R93" s="520"/>
      <c r="S93" s="520"/>
    </row>
    <row r="94" customFormat="false" ht="11.45" hidden="false" customHeight="true" outlineLevel="0" collapsed="false">
      <c r="A94" s="525"/>
      <c r="B94" s="525"/>
      <c r="C94" s="533"/>
      <c r="D94" s="533"/>
      <c r="E94" s="533"/>
      <c r="F94" s="552"/>
      <c r="G94" s="533"/>
      <c r="H94" s="533"/>
      <c r="I94" s="533"/>
      <c r="J94" s="533"/>
      <c r="K94" s="533"/>
      <c r="L94" s="533"/>
      <c r="M94" s="533"/>
      <c r="N94" s="533"/>
      <c r="O94" s="533"/>
      <c r="P94" s="533"/>
      <c r="Q94" s="595"/>
      <c r="R94" s="595"/>
      <c r="S94" s="595"/>
      <c r="T94" s="595"/>
      <c r="U94" s="595"/>
      <c r="V94" s="595"/>
      <c r="W94" s="595"/>
      <c r="X94" s="595"/>
      <c r="Y94" s="595"/>
      <c r="Z94" s="595"/>
      <c r="AA94" s="595"/>
      <c r="AB94" s="595"/>
      <c r="AC94" s="595"/>
      <c r="AD94" s="595"/>
      <c r="AE94" s="595"/>
      <c r="AF94" s="595"/>
    </row>
    <row r="95" customFormat="false" ht="11.45" hidden="false" customHeight="true" outlineLevel="0" collapsed="false">
      <c r="A95" s="525"/>
      <c r="B95" s="525"/>
      <c r="C95" s="533"/>
      <c r="D95" s="533"/>
      <c r="E95" s="533"/>
      <c r="F95" s="533"/>
      <c r="G95" s="590"/>
      <c r="H95" s="590"/>
      <c r="I95" s="590"/>
      <c r="J95" s="590"/>
      <c r="K95" s="590"/>
      <c r="L95" s="590"/>
      <c r="M95" s="590"/>
      <c r="N95" s="590"/>
      <c r="O95" s="590"/>
      <c r="P95" s="590"/>
      <c r="Q95" s="591"/>
      <c r="R95" s="591"/>
      <c r="S95" s="591"/>
      <c r="T95" s="591"/>
      <c r="U95" s="591"/>
      <c r="V95" s="591"/>
      <c r="W95" s="591"/>
      <c r="X95" s="591"/>
      <c r="Y95" s="591"/>
      <c r="Z95" s="591"/>
      <c r="AA95" s="591"/>
      <c r="AB95" s="591"/>
      <c r="AC95" s="591"/>
      <c r="AD95" s="591"/>
      <c r="AE95" s="591"/>
      <c r="AF95" s="591"/>
    </row>
    <row r="96" customFormat="false" ht="11.45" hidden="false" customHeight="true" outlineLevel="0" collapsed="false">
      <c r="A96" s="525"/>
      <c r="B96" s="525"/>
      <c r="C96" s="525"/>
      <c r="D96" s="525"/>
      <c r="E96" s="525"/>
      <c r="F96" s="590"/>
      <c r="G96" s="596"/>
      <c r="H96" s="596"/>
      <c r="I96" s="596"/>
      <c r="J96" s="596"/>
      <c r="K96" s="596"/>
      <c r="L96" s="596"/>
      <c r="M96" s="596"/>
      <c r="N96" s="596"/>
      <c r="O96" s="596"/>
      <c r="P96" s="596"/>
      <c r="Q96" s="597"/>
      <c r="R96" s="597"/>
      <c r="S96" s="597"/>
      <c r="T96" s="597"/>
      <c r="U96" s="597"/>
      <c r="V96" s="597"/>
      <c r="W96" s="597"/>
      <c r="X96" s="597"/>
      <c r="Y96" s="597"/>
      <c r="Z96" s="597"/>
      <c r="AA96" s="597"/>
      <c r="AB96" s="597"/>
      <c r="AC96" s="597"/>
      <c r="AD96" s="597"/>
      <c r="AE96" s="597"/>
      <c r="AF96" s="597"/>
    </row>
    <row r="97" customFormat="false" ht="11.45" hidden="false" customHeight="true" outlineLevel="0" collapsed="false">
      <c r="A97" s="525"/>
      <c r="B97" s="525"/>
      <c r="C97" s="533"/>
      <c r="D97" s="533"/>
      <c r="E97" s="533"/>
      <c r="F97" s="533"/>
      <c r="G97" s="596"/>
      <c r="H97" s="596"/>
      <c r="I97" s="596"/>
      <c r="J97" s="596"/>
      <c r="K97" s="596"/>
      <c r="L97" s="596"/>
      <c r="M97" s="596"/>
      <c r="N97" s="596"/>
      <c r="O97" s="596"/>
      <c r="P97" s="596"/>
      <c r="Q97" s="597"/>
      <c r="R97" s="597"/>
      <c r="S97" s="597"/>
      <c r="T97" s="597"/>
      <c r="U97" s="597"/>
      <c r="V97" s="597"/>
      <c r="W97" s="597"/>
      <c r="X97" s="597"/>
      <c r="Y97" s="597"/>
      <c r="Z97" s="597"/>
      <c r="AA97" s="597"/>
      <c r="AB97" s="597"/>
      <c r="AC97" s="597"/>
      <c r="AD97" s="597"/>
      <c r="AE97" s="597"/>
      <c r="AF97" s="597"/>
    </row>
    <row r="98" customFormat="false" ht="11.45" hidden="false" customHeight="true" outlineLevel="0" collapsed="false">
      <c r="A98" s="525"/>
      <c r="B98" s="525"/>
      <c r="C98" s="525"/>
      <c r="D98" s="525"/>
      <c r="E98" s="525"/>
      <c r="F98" s="533"/>
      <c r="G98" s="596"/>
      <c r="H98" s="596"/>
      <c r="I98" s="596"/>
      <c r="J98" s="596"/>
      <c r="K98" s="596"/>
      <c r="L98" s="596"/>
      <c r="M98" s="596"/>
      <c r="N98" s="596"/>
      <c r="O98" s="596"/>
      <c r="P98" s="596"/>
      <c r="Q98" s="597"/>
      <c r="R98" s="597"/>
      <c r="S98" s="597"/>
      <c r="T98" s="597"/>
      <c r="U98" s="597"/>
      <c r="V98" s="597"/>
      <c r="W98" s="597"/>
      <c r="X98" s="597"/>
      <c r="Y98" s="597"/>
      <c r="Z98" s="597"/>
      <c r="AA98" s="597"/>
      <c r="AB98" s="597"/>
      <c r="AC98" s="597"/>
      <c r="AD98" s="597"/>
      <c r="AE98" s="597"/>
      <c r="AF98" s="597"/>
    </row>
    <row r="99" customFormat="false" ht="12.75" hidden="false" customHeight="false" outlineLevel="0" collapsed="false">
      <c r="A99" s="525"/>
      <c r="B99" s="525"/>
      <c r="C99" s="525"/>
      <c r="D99" s="525"/>
      <c r="E99" s="525"/>
      <c r="F99" s="533"/>
      <c r="G99" s="1"/>
      <c r="Q99" s="520"/>
      <c r="R99" s="520"/>
    </row>
    <row r="100" customFormat="false" ht="12.75" hidden="false" customHeight="false" outlineLevel="0" collapsed="false">
      <c r="A100" s="1"/>
      <c r="B100" s="1"/>
      <c r="C100" s="1"/>
      <c r="D100" s="1"/>
      <c r="E100" s="1"/>
      <c r="F100" s="1"/>
      <c r="G100" s="1"/>
      <c r="Q100" s="520"/>
      <c r="R100" s="520"/>
    </row>
    <row r="101" customFormat="false" ht="12.75" hidden="false" customHeight="false" outlineLevel="0" collapsed="false">
      <c r="A101" s="1"/>
      <c r="B101" s="1"/>
      <c r="C101" s="1"/>
      <c r="D101" s="1"/>
      <c r="E101" s="1"/>
      <c r="F101" s="1"/>
      <c r="G101" s="1"/>
      <c r="Q101" s="520"/>
      <c r="R101" s="520"/>
    </row>
    <row r="102" customFormat="false" ht="12.75" hidden="false" customHeight="false" outlineLevel="0" collapsed="false">
      <c r="A102" s="1"/>
      <c r="B102" s="1"/>
      <c r="C102" s="1"/>
      <c r="D102" s="1"/>
      <c r="E102" s="1"/>
      <c r="F102" s="1"/>
      <c r="G102" s="1"/>
      <c r="Q102" s="520"/>
      <c r="R102" s="520"/>
    </row>
    <row r="103" customFormat="false" ht="12.75" hidden="false" customHeight="false" outlineLevel="0" collapsed="false">
      <c r="A103" s="1"/>
      <c r="B103" s="1"/>
      <c r="C103" s="1"/>
      <c r="D103" s="1"/>
      <c r="E103" s="1"/>
      <c r="F103" s="1"/>
      <c r="G103" s="1"/>
      <c r="Q103" s="520"/>
      <c r="R103" s="520"/>
    </row>
    <row r="104" customFormat="false" ht="12.75" hidden="false" customHeight="false" outlineLevel="0" collapsed="false">
      <c r="A104" s="1"/>
      <c r="B104" s="1"/>
      <c r="C104" s="1"/>
      <c r="D104" s="1"/>
      <c r="E104" s="1"/>
      <c r="F104" s="1"/>
      <c r="G104" s="1"/>
      <c r="Q104" s="520"/>
      <c r="R104" s="520"/>
    </row>
    <row r="105" customFormat="false" ht="12.75" hidden="false" customHeight="false" outlineLevel="0" collapsed="false">
      <c r="A105" s="1"/>
      <c r="B105" s="1"/>
      <c r="C105" s="1"/>
      <c r="D105" s="1"/>
      <c r="E105" s="1"/>
      <c r="F105" s="1"/>
      <c r="G105" s="1"/>
      <c r="Q105" s="520"/>
      <c r="R105" s="520"/>
    </row>
    <row r="106" customFormat="false" ht="12.75" hidden="false" customHeight="false" outlineLevel="0" collapsed="false">
      <c r="A106" s="1"/>
      <c r="B106" s="1"/>
      <c r="C106" s="1"/>
      <c r="D106" s="1"/>
      <c r="E106" s="1"/>
      <c r="F106" s="1"/>
      <c r="G106" s="1"/>
      <c r="Q106" s="520"/>
      <c r="R106" s="520"/>
    </row>
    <row r="107" customFormat="false" ht="12.75" hidden="false" customHeight="false" outlineLevel="0" collapsed="false">
      <c r="A107" s="1"/>
      <c r="B107" s="1"/>
      <c r="C107" s="1"/>
      <c r="D107" s="1"/>
      <c r="E107" s="1"/>
      <c r="F107" s="1"/>
      <c r="G107" s="1"/>
      <c r="Q107" s="520"/>
      <c r="R107" s="520"/>
    </row>
    <row r="108" customFormat="false" ht="12.75" hidden="false" customHeight="false" outlineLevel="0" collapsed="false">
      <c r="A108" s="1"/>
      <c r="B108" s="1"/>
      <c r="C108" s="1"/>
      <c r="D108" s="1"/>
      <c r="E108" s="1"/>
      <c r="F108" s="1"/>
      <c r="G108" s="1"/>
      <c r="Q108" s="520"/>
      <c r="R108" s="520"/>
    </row>
    <row r="109" customFormat="false" ht="12.75" hidden="false" customHeight="false" outlineLevel="0" collapsed="false">
      <c r="A109" s="1"/>
      <c r="B109" s="1"/>
      <c r="C109" s="1"/>
      <c r="D109" s="1"/>
      <c r="E109" s="1"/>
      <c r="F109" s="1"/>
      <c r="G109" s="1"/>
      <c r="Q109" s="520"/>
      <c r="R109" s="520"/>
    </row>
    <row r="110" customFormat="false" ht="12.75" hidden="false" customHeight="false" outlineLevel="0" collapsed="false">
      <c r="A110" s="1"/>
      <c r="B110" s="1"/>
      <c r="C110" s="1"/>
      <c r="D110" s="1"/>
      <c r="E110" s="1"/>
      <c r="F110" s="1"/>
      <c r="G110" s="1"/>
      <c r="Q110" s="520"/>
      <c r="R110" s="520"/>
    </row>
    <row r="111" customFormat="false" ht="12.75" hidden="false" customHeight="false" outlineLevel="0" collapsed="false">
      <c r="A111" s="1"/>
      <c r="B111" s="1"/>
      <c r="C111" s="1"/>
      <c r="D111" s="1"/>
      <c r="E111" s="1"/>
      <c r="F111" s="1"/>
      <c r="G111" s="1"/>
      <c r="Q111" s="520"/>
      <c r="R111" s="520"/>
    </row>
    <row r="112" customFormat="false" ht="12.75" hidden="false" customHeight="false" outlineLevel="0" collapsed="false">
      <c r="A112" s="1"/>
      <c r="B112" s="1"/>
      <c r="C112" s="1"/>
      <c r="D112" s="1"/>
      <c r="E112" s="1"/>
      <c r="F112" s="1"/>
      <c r="G112" s="1"/>
      <c r="Q112" s="520"/>
      <c r="R112" s="520"/>
    </row>
    <row r="113" customFormat="false" ht="12.75" hidden="false" customHeight="false" outlineLevel="0" collapsed="false">
      <c r="A113" s="1"/>
      <c r="B113" s="1"/>
      <c r="C113" s="1"/>
      <c r="D113" s="1"/>
      <c r="E113" s="1"/>
      <c r="F113" s="1"/>
      <c r="G113" s="1"/>
      <c r="Q113" s="520"/>
      <c r="R113" s="520"/>
    </row>
    <row r="114" customFormat="false" ht="12.75" hidden="false" customHeight="false" outlineLevel="0" collapsed="false">
      <c r="A114" s="1"/>
      <c r="B114" s="1"/>
      <c r="C114" s="1"/>
      <c r="D114" s="1"/>
      <c r="E114" s="1"/>
      <c r="F114" s="1"/>
      <c r="G114" s="1"/>
      <c r="Q114" s="520"/>
      <c r="R114" s="520"/>
    </row>
    <row r="115" customFormat="false" ht="12.75" hidden="false" customHeight="false" outlineLevel="0" collapsed="false">
      <c r="A115" s="1"/>
      <c r="B115" s="1"/>
      <c r="C115" s="1"/>
      <c r="D115" s="1"/>
      <c r="E115" s="1"/>
      <c r="F115" s="1"/>
      <c r="G115" s="1"/>
      <c r="Q115" s="520"/>
      <c r="R115" s="520"/>
    </row>
    <row r="116" customFormat="false" ht="12.75" hidden="false" customHeight="false" outlineLevel="0" collapsed="false">
      <c r="A116" s="1"/>
      <c r="B116" s="1"/>
      <c r="C116" s="1"/>
      <c r="D116" s="1"/>
      <c r="E116" s="1"/>
      <c r="F116" s="1"/>
      <c r="G116" s="1"/>
      <c r="Q116" s="520"/>
      <c r="R116" s="520"/>
    </row>
    <row r="117" customFormat="false" ht="12.75" hidden="false" customHeight="false" outlineLevel="0" collapsed="false">
      <c r="A117" s="1"/>
      <c r="B117" s="1"/>
      <c r="C117" s="1"/>
      <c r="D117" s="1"/>
      <c r="E117" s="1"/>
      <c r="F117" s="1"/>
      <c r="G117" s="1"/>
      <c r="Q117" s="520"/>
      <c r="R117" s="520"/>
    </row>
    <row r="118" customFormat="false" ht="12.75" hidden="false" customHeight="false" outlineLevel="0" collapsed="false">
      <c r="A118" s="1"/>
      <c r="B118" s="1"/>
      <c r="C118" s="1"/>
      <c r="D118" s="1"/>
      <c r="E118" s="1"/>
      <c r="F118" s="1"/>
      <c r="G118" s="1"/>
      <c r="Q118" s="520"/>
      <c r="R118" s="520"/>
    </row>
    <row r="119" customFormat="false" ht="12.75" hidden="false" customHeight="false" outlineLevel="0" collapsed="false">
      <c r="A119" s="1"/>
      <c r="B119" s="1"/>
      <c r="C119" s="1"/>
      <c r="D119" s="1"/>
      <c r="E119" s="1"/>
      <c r="F119" s="1"/>
      <c r="G119" s="1"/>
      <c r="Q119" s="520"/>
      <c r="R119" s="520"/>
    </row>
    <row r="120" customFormat="false" ht="12.75" hidden="false" customHeight="false" outlineLevel="0" collapsed="false">
      <c r="A120" s="1"/>
      <c r="B120" s="1"/>
      <c r="C120" s="1"/>
      <c r="D120" s="1"/>
      <c r="E120" s="1"/>
      <c r="F120" s="1"/>
      <c r="G120" s="1"/>
      <c r="Q120" s="520"/>
      <c r="R120" s="520"/>
    </row>
    <row r="121" customFormat="false" ht="12.75" hidden="false" customHeight="false" outlineLevel="0" collapsed="false">
      <c r="A121" s="1"/>
      <c r="B121" s="1"/>
      <c r="C121" s="1"/>
      <c r="D121" s="1"/>
      <c r="E121" s="1"/>
      <c r="F121" s="1"/>
      <c r="G121" s="1"/>
      <c r="Q121" s="520"/>
      <c r="R121" s="520"/>
    </row>
    <row r="122" customFormat="false" ht="12.75" hidden="false" customHeight="false" outlineLevel="0" collapsed="false">
      <c r="A122" s="1"/>
      <c r="B122" s="1"/>
      <c r="C122" s="1"/>
      <c r="D122" s="1"/>
      <c r="E122" s="1"/>
      <c r="F122" s="1"/>
      <c r="G122" s="1"/>
      <c r="Q122" s="520"/>
      <c r="R122" s="520"/>
    </row>
    <row r="123" customFormat="false" ht="12.75" hidden="false" customHeight="false" outlineLevel="0" collapsed="false">
      <c r="A123" s="1"/>
      <c r="B123" s="1"/>
      <c r="C123" s="1"/>
      <c r="D123" s="1"/>
      <c r="E123" s="1"/>
      <c r="F123" s="1"/>
      <c r="G123" s="1"/>
      <c r="Q123" s="520"/>
      <c r="R123" s="520"/>
    </row>
    <row r="124" customFormat="false" ht="12.75" hidden="false" customHeight="false" outlineLevel="0" collapsed="false">
      <c r="A124" s="1"/>
      <c r="B124" s="1"/>
      <c r="C124" s="1"/>
      <c r="D124" s="1"/>
      <c r="E124" s="1"/>
      <c r="F124" s="1"/>
      <c r="G124" s="1"/>
      <c r="Q124" s="520"/>
      <c r="R124" s="520"/>
    </row>
    <row r="125" customFormat="false" ht="12.75" hidden="false" customHeight="false" outlineLevel="0" collapsed="false">
      <c r="A125" s="1"/>
      <c r="B125" s="1"/>
      <c r="C125" s="1"/>
      <c r="D125" s="1"/>
      <c r="E125" s="1"/>
      <c r="F125" s="1"/>
      <c r="G125" s="1"/>
      <c r="Q125" s="520"/>
      <c r="R125" s="520"/>
    </row>
    <row r="126" customFormat="false" ht="12.75" hidden="false" customHeight="false" outlineLevel="0" collapsed="false">
      <c r="A126" s="1"/>
      <c r="B126" s="1"/>
      <c r="C126" s="1"/>
      <c r="D126" s="1"/>
      <c r="E126" s="1"/>
      <c r="F126" s="1"/>
      <c r="G126" s="1"/>
      <c r="Q126" s="520"/>
      <c r="R126" s="520"/>
    </row>
    <row r="127" customFormat="false" ht="12.75" hidden="false" customHeight="false" outlineLevel="0" collapsed="false">
      <c r="A127" s="1"/>
      <c r="B127" s="1"/>
      <c r="C127" s="1"/>
      <c r="D127" s="1"/>
      <c r="E127" s="1"/>
      <c r="F127" s="1"/>
      <c r="G127" s="1"/>
      <c r="Q127" s="520"/>
      <c r="R127" s="520"/>
    </row>
    <row r="128" customFormat="false" ht="12.75" hidden="false" customHeight="false" outlineLevel="0" collapsed="false">
      <c r="A128" s="1"/>
      <c r="B128" s="1"/>
      <c r="C128" s="1"/>
      <c r="D128" s="1"/>
      <c r="E128" s="1"/>
      <c r="F128" s="1"/>
      <c r="G128" s="1"/>
      <c r="Q128" s="520"/>
      <c r="R128" s="520"/>
    </row>
    <row r="129" customFormat="false" ht="12.75" hidden="false" customHeight="false" outlineLevel="0" collapsed="false">
      <c r="A129" s="1"/>
      <c r="B129" s="1"/>
      <c r="C129" s="1"/>
      <c r="D129" s="1"/>
      <c r="E129" s="1"/>
      <c r="F129" s="1"/>
      <c r="G129" s="1"/>
      <c r="Q129" s="520"/>
      <c r="R129" s="520"/>
    </row>
    <row r="130" customFormat="false" ht="12.75" hidden="false" customHeight="false" outlineLevel="0" collapsed="false">
      <c r="A130" s="1"/>
      <c r="B130" s="1"/>
      <c r="C130" s="1"/>
      <c r="D130" s="1"/>
      <c r="E130" s="1"/>
      <c r="F130" s="1"/>
      <c r="G130" s="1"/>
      <c r="Q130" s="520"/>
      <c r="R130" s="520"/>
    </row>
    <row r="131" customFormat="false" ht="12.75" hidden="false" customHeight="false" outlineLevel="0" collapsed="false">
      <c r="A131" s="1"/>
      <c r="B131" s="1"/>
      <c r="C131" s="1"/>
      <c r="D131" s="1"/>
      <c r="E131" s="1"/>
      <c r="F131" s="1"/>
      <c r="G131" s="1"/>
      <c r="Q131" s="520"/>
      <c r="R131" s="520"/>
    </row>
    <row r="132" customFormat="false" ht="12.75" hidden="false" customHeight="false" outlineLevel="0" collapsed="false">
      <c r="A132" s="1"/>
      <c r="B132" s="1"/>
      <c r="C132" s="1"/>
      <c r="D132" s="1"/>
      <c r="E132" s="1"/>
      <c r="F132" s="1"/>
      <c r="G132" s="1"/>
      <c r="Q132" s="520"/>
      <c r="R132" s="520"/>
    </row>
    <row r="133" customFormat="false" ht="12.75" hidden="false" customHeight="false" outlineLevel="0" collapsed="false">
      <c r="A133" s="1"/>
      <c r="B133" s="1"/>
      <c r="C133" s="1"/>
      <c r="D133" s="1"/>
      <c r="E133" s="1"/>
      <c r="F133" s="1"/>
      <c r="Q133" s="520"/>
      <c r="R133" s="520"/>
    </row>
    <row r="134" customFormat="false" ht="11.25" hidden="false" customHeight="false" outlineLevel="0" collapsed="false">
      <c r="Q134" s="520"/>
      <c r="R134" s="520"/>
    </row>
    <row r="135" customFormat="false" ht="11.25" hidden="false" customHeight="false" outlineLevel="0" collapsed="false">
      <c r="Q135" s="520"/>
      <c r="R135" s="520"/>
    </row>
    <row r="136" customFormat="false" ht="11.25" hidden="false" customHeight="false" outlineLevel="0" collapsed="false">
      <c r="Q136" s="520"/>
      <c r="R136" s="520"/>
    </row>
    <row r="137" customFormat="false" ht="11.25" hidden="false" customHeight="false" outlineLevel="0" collapsed="false">
      <c r="Q137" s="520"/>
      <c r="R137" s="520"/>
    </row>
    <row r="138" customFormat="false" ht="11.25" hidden="false" customHeight="false" outlineLevel="0" collapsed="false">
      <c r="Q138" s="520"/>
      <c r="R138" s="520"/>
    </row>
    <row r="139" customFormat="false" ht="11.25" hidden="false" customHeight="false" outlineLevel="0" collapsed="false">
      <c r="Q139" s="520"/>
      <c r="R139" s="520"/>
    </row>
    <row r="140" customFormat="false" ht="11.25" hidden="false" customHeight="false" outlineLevel="0" collapsed="false">
      <c r="Q140" s="520"/>
      <c r="R140" s="520"/>
    </row>
    <row r="141" customFormat="false" ht="11.25" hidden="false" customHeight="false" outlineLevel="0" collapsed="false">
      <c r="Q141" s="520"/>
      <c r="R141" s="520"/>
    </row>
    <row r="142" customFormat="false" ht="11.25" hidden="false" customHeight="false" outlineLevel="0" collapsed="false">
      <c r="Q142" s="520"/>
      <c r="R142" s="520"/>
    </row>
    <row r="143" customFormat="false" ht="11.25" hidden="false" customHeight="false" outlineLevel="0" collapsed="false">
      <c r="Q143" s="520"/>
      <c r="R143" s="520"/>
    </row>
    <row r="144" customFormat="false" ht="11.25" hidden="false" customHeight="false" outlineLevel="0" collapsed="false">
      <c r="Q144" s="520"/>
      <c r="R144" s="520"/>
    </row>
    <row r="145" customFormat="false" ht="11.25" hidden="false" customHeight="false" outlineLevel="0" collapsed="false">
      <c r="Q145" s="520"/>
      <c r="R145" s="520"/>
    </row>
    <row r="146" customFormat="false" ht="11.25" hidden="false" customHeight="false" outlineLevel="0" collapsed="false">
      <c r="Q146" s="520"/>
      <c r="R146" s="520"/>
    </row>
    <row r="147" customFormat="false" ht="11.25" hidden="false" customHeight="false" outlineLevel="0" collapsed="false">
      <c r="Q147" s="520"/>
      <c r="R147" s="520"/>
    </row>
    <row r="148" customFormat="false" ht="11.25" hidden="false" customHeight="false" outlineLevel="0" collapsed="false">
      <c r="Q148" s="520"/>
      <c r="R148" s="520"/>
    </row>
    <row r="149" customFormat="false" ht="11.25" hidden="false" customHeight="false" outlineLevel="0" collapsed="false">
      <c r="Q149" s="520"/>
      <c r="R149" s="520"/>
    </row>
    <row r="150" customFormat="false" ht="11.25" hidden="false" customHeight="false" outlineLevel="0" collapsed="false">
      <c r="Q150" s="520"/>
      <c r="R150" s="520"/>
    </row>
    <row r="151" customFormat="false" ht="11.25" hidden="false" customHeight="false" outlineLevel="0" collapsed="false">
      <c r="Q151" s="520"/>
      <c r="R151" s="520"/>
    </row>
    <row r="152" customFormat="false" ht="11.25" hidden="false" customHeight="false" outlineLevel="0" collapsed="false">
      <c r="Q152" s="520"/>
      <c r="R152" s="520"/>
    </row>
    <row r="153" customFormat="false" ht="11.25" hidden="false" customHeight="false" outlineLevel="0" collapsed="false">
      <c r="Q153" s="520"/>
      <c r="R153" s="520"/>
    </row>
    <row r="154" customFormat="false" ht="11.25" hidden="false" customHeight="false" outlineLevel="0" collapsed="false">
      <c r="Q154" s="520"/>
      <c r="R154" s="520"/>
    </row>
    <row r="155" customFormat="false" ht="11.25" hidden="false" customHeight="false" outlineLevel="0" collapsed="false">
      <c r="Q155" s="520"/>
      <c r="R155" s="520"/>
    </row>
    <row r="156" customFormat="false" ht="11.25" hidden="false" customHeight="false" outlineLevel="0" collapsed="false">
      <c r="Q156" s="520"/>
      <c r="R156" s="520"/>
    </row>
    <row r="157" customFormat="false" ht="11.25" hidden="false" customHeight="false" outlineLevel="0" collapsed="false">
      <c r="Q157" s="520"/>
      <c r="R157" s="520"/>
    </row>
    <row r="158" customFormat="false" ht="11.25" hidden="false" customHeight="false" outlineLevel="0" collapsed="false">
      <c r="Q158" s="520"/>
      <c r="R158" s="520"/>
    </row>
    <row r="159" customFormat="false" ht="11.25" hidden="false" customHeight="false" outlineLevel="0" collapsed="false">
      <c r="Q159" s="520"/>
      <c r="R159" s="520"/>
    </row>
    <row r="160" customFormat="false" ht="11.25" hidden="false" customHeight="false" outlineLevel="0" collapsed="false">
      <c r="Q160" s="520"/>
      <c r="R160" s="520"/>
    </row>
    <row r="161" customFormat="false" ht="11.25" hidden="false" customHeight="false" outlineLevel="0" collapsed="false">
      <c r="Q161" s="520"/>
      <c r="R161" s="520"/>
    </row>
    <row r="162" customFormat="false" ht="11.25" hidden="false" customHeight="false" outlineLevel="0" collapsed="false">
      <c r="Q162" s="520"/>
      <c r="R162" s="520"/>
    </row>
    <row r="163" customFormat="false" ht="11.25" hidden="false" customHeight="false" outlineLevel="0" collapsed="false">
      <c r="Q163" s="520"/>
      <c r="R163" s="520"/>
    </row>
    <row r="164" customFormat="false" ht="11.25" hidden="false" customHeight="false" outlineLevel="0" collapsed="false">
      <c r="Q164" s="520"/>
      <c r="R164" s="520"/>
    </row>
    <row r="165" customFormat="false" ht="11.25" hidden="false" customHeight="false" outlineLevel="0" collapsed="false">
      <c r="Q165" s="520"/>
      <c r="R165" s="520"/>
    </row>
    <row r="166" customFormat="false" ht="11.25" hidden="false" customHeight="false" outlineLevel="0" collapsed="false">
      <c r="F166" s="598"/>
      <c r="Q166" s="520"/>
      <c r="R166" s="520"/>
    </row>
    <row r="167" customFormat="false" ht="11.25" hidden="false" customHeight="false" outlineLevel="0" collapsed="false">
      <c r="Q167" s="520"/>
      <c r="R167" s="520"/>
    </row>
    <row r="168" customFormat="false" ht="11.25" hidden="false" customHeight="false" outlineLevel="0" collapsed="false">
      <c r="Q168" s="520"/>
      <c r="R168" s="520"/>
    </row>
    <row r="169" customFormat="false" ht="11.25" hidden="false" customHeight="false" outlineLevel="0" collapsed="false">
      <c r="Q169" s="520"/>
      <c r="R169" s="520"/>
    </row>
    <row r="170" customFormat="false" ht="11.25" hidden="false" customHeight="false" outlineLevel="0" collapsed="false">
      <c r="Q170" s="520"/>
      <c r="R170" s="520"/>
    </row>
    <row r="171" customFormat="false" ht="11.25" hidden="false" customHeight="false" outlineLevel="0" collapsed="false">
      <c r="Q171" s="520"/>
      <c r="R171" s="520"/>
    </row>
    <row r="172" customFormat="false" ht="11.25" hidden="false" customHeight="false" outlineLevel="0" collapsed="false">
      <c r="Q172" s="520"/>
      <c r="R172" s="520"/>
    </row>
    <row r="173" customFormat="false" ht="11.25" hidden="false" customHeight="false" outlineLevel="0" collapsed="false">
      <c r="Q173" s="520"/>
      <c r="R173" s="520"/>
    </row>
    <row r="174" customFormat="false" ht="11.25" hidden="false" customHeight="false" outlineLevel="0" collapsed="false">
      <c r="Q174" s="520"/>
      <c r="R174" s="520"/>
    </row>
    <row r="175" customFormat="false" ht="11.25" hidden="false" customHeight="false" outlineLevel="0" collapsed="false">
      <c r="Q175" s="520"/>
      <c r="R175" s="520"/>
    </row>
    <row r="176" customFormat="false" ht="11.25" hidden="false" customHeight="false" outlineLevel="0" collapsed="false">
      <c r="Q176" s="520"/>
      <c r="R176" s="520"/>
    </row>
    <row r="177" customFormat="false" ht="11.25" hidden="false" customHeight="false" outlineLevel="0" collapsed="false">
      <c r="Q177" s="520"/>
      <c r="R177" s="520"/>
    </row>
    <row r="178" customFormat="false" ht="11.25" hidden="false" customHeight="false" outlineLevel="0" collapsed="false">
      <c r="Q178" s="520"/>
      <c r="R178" s="520"/>
    </row>
    <row r="179" customFormat="false" ht="11.25" hidden="false" customHeight="false" outlineLevel="0" collapsed="false">
      <c r="Q179" s="520"/>
      <c r="R179" s="520"/>
    </row>
    <row r="180" customFormat="false" ht="11.25" hidden="false" customHeight="false" outlineLevel="0" collapsed="false">
      <c r="Q180" s="520"/>
      <c r="R180" s="520"/>
    </row>
    <row r="181" customFormat="false" ht="11.25" hidden="false" customHeight="false" outlineLevel="0" collapsed="false">
      <c r="Q181" s="520"/>
      <c r="R181" s="520"/>
    </row>
    <row r="182" customFormat="false" ht="11.25" hidden="false" customHeight="false" outlineLevel="0" collapsed="false">
      <c r="Q182" s="520"/>
      <c r="R182" s="520"/>
    </row>
    <row r="183" customFormat="false" ht="11.25" hidden="false" customHeight="false" outlineLevel="0" collapsed="false">
      <c r="Q183" s="520"/>
      <c r="R183" s="520"/>
    </row>
    <row r="184" customFormat="false" ht="11.25" hidden="false" customHeight="false" outlineLevel="0" collapsed="false">
      <c r="Q184" s="520"/>
      <c r="R184" s="520"/>
    </row>
    <row r="185" customFormat="false" ht="11.25" hidden="false" customHeight="false" outlineLevel="0" collapsed="false">
      <c r="Q185" s="520"/>
      <c r="R185" s="520"/>
    </row>
    <row r="186" customFormat="false" ht="11.25" hidden="false" customHeight="false" outlineLevel="0" collapsed="false">
      <c r="Q186" s="520"/>
      <c r="R186" s="520"/>
    </row>
    <row r="187" customFormat="false" ht="11.25" hidden="false" customHeight="false" outlineLevel="0" collapsed="false">
      <c r="Q187" s="520"/>
      <c r="R187" s="520"/>
    </row>
    <row r="188" customFormat="false" ht="11.25" hidden="false" customHeight="false" outlineLevel="0" collapsed="false">
      <c r="Q188" s="520"/>
      <c r="R188" s="520"/>
    </row>
    <row r="189" customFormat="false" ht="11.25" hidden="false" customHeight="false" outlineLevel="0" collapsed="false">
      <c r="Q189" s="520"/>
      <c r="R189" s="520"/>
    </row>
    <row r="190" customFormat="false" ht="11.25" hidden="false" customHeight="false" outlineLevel="0" collapsed="false">
      <c r="Q190" s="520"/>
      <c r="R190" s="520"/>
    </row>
    <row r="191" customFormat="false" ht="11.25" hidden="false" customHeight="false" outlineLevel="0" collapsed="false">
      <c r="Q191" s="520"/>
      <c r="R191" s="520"/>
    </row>
    <row r="192" customFormat="false" ht="11.25" hidden="false" customHeight="false" outlineLevel="0" collapsed="false">
      <c r="Q192" s="520"/>
      <c r="R192" s="520"/>
    </row>
    <row r="193" customFormat="false" ht="11.25" hidden="false" customHeight="false" outlineLevel="0" collapsed="false">
      <c r="Q193" s="520"/>
      <c r="R193" s="520"/>
    </row>
    <row r="194" customFormat="false" ht="11.25" hidden="false" customHeight="false" outlineLevel="0" collapsed="false">
      <c r="Q194" s="520"/>
      <c r="R194" s="520"/>
    </row>
    <row r="195" customFormat="false" ht="11.25" hidden="false" customHeight="false" outlineLevel="0" collapsed="false">
      <c r="Q195" s="520"/>
      <c r="R195" s="520"/>
    </row>
    <row r="196" customFormat="false" ht="11.25" hidden="false" customHeight="false" outlineLevel="0" collapsed="false">
      <c r="Q196" s="520"/>
      <c r="R196" s="520"/>
    </row>
    <row r="197" customFormat="false" ht="11.25" hidden="false" customHeight="false" outlineLevel="0" collapsed="false">
      <c r="Q197" s="520"/>
      <c r="R197" s="520"/>
    </row>
    <row r="198" customFormat="false" ht="11.25" hidden="false" customHeight="false" outlineLevel="0" collapsed="false">
      <c r="Q198" s="520"/>
      <c r="R198" s="520"/>
    </row>
    <row r="199" customFormat="false" ht="11.25" hidden="false" customHeight="false" outlineLevel="0" collapsed="false">
      <c r="Q199" s="520"/>
      <c r="R199" s="520"/>
    </row>
    <row r="200" customFormat="false" ht="11.25" hidden="false" customHeight="false" outlineLevel="0" collapsed="false">
      <c r="Q200" s="520"/>
      <c r="R200" s="520"/>
    </row>
    <row r="201" customFormat="false" ht="11.25" hidden="false" customHeight="false" outlineLevel="0" collapsed="false">
      <c r="Q201" s="520"/>
      <c r="R201" s="520"/>
    </row>
    <row r="202" customFormat="false" ht="11.25" hidden="false" customHeight="false" outlineLevel="0" collapsed="false">
      <c r="Q202" s="520"/>
      <c r="R202" s="520"/>
    </row>
    <row r="203" customFormat="false" ht="11.25" hidden="false" customHeight="false" outlineLevel="0" collapsed="false">
      <c r="Q203" s="520"/>
      <c r="R203" s="520"/>
    </row>
    <row r="204" customFormat="false" ht="11.25" hidden="false" customHeight="false" outlineLevel="0" collapsed="false">
      <c r="Q204" s="520"/>
      <c r="R204" s="520"/>
    </row>
    <row r="205" customFormat="false" ht="11.25" hidden="false" customHeight="false" outlineLevel="0" collapsed="false">
      <c r="Q205" s="520"/>
      <c r="R205" s="520"/>
    </row>
    <row r="206" customFormat="false" ht="11.25" hidden="false" customHeight="false" outlineLevel="0" collapsed="false">
      <c r="Q206" s="520"/>
      <c r="R206" s="520"/>
    </row>
    <row r="207" customFormat="false" ht="11.25" hidden="false" customHeight="false" outlineLevel="0" collapsed="false">
      <c r="Q207" s="520"/>
      <c r="R207" s="520"/>
    </row>
    <row r="208" customFormat="false" ht="11.25" hidden="false" customHeight="false" outlineLevel="0" collapsed="false">
      <c r="Q208" s="520"/>
      <c r="R208" s="520"/>
    </row>
    <row r="209" customFormat="false" ht="11.25" hidden="false" customHeight="false" outlineLevel="0" collapsed="false">
      <c r="Q209" s="520"/>
      <c r="R209" s="520"/>
    </row>
    <row r="210" customFormat="false" ht="11.25" hidden="false" customHeight="false" outlineLevel="0" collapsed="false">
      <c r="Q210" s="520"/>
      <c r="R210" s="520"/>
    </row>
    <row r="211" customFormat="false" ht="11.25" hidden="false" customHeight="false" outlineLevel="0" collapsed="false">
      <c r="Q211" s="520"/>
      <c r="R211" s="520"/>
    </row>
    <row r="212" customFormat="false" ht="11.25" hidden="false" customHeight="false" outlineLevel="0" collapsed="false">
      <c r="Q212" s="520"/>
      <c r="R212" s="520"/>
    </row>
    <row r="213" customFormat="false" ht="11.25" hidden="false" customHeight="false" outlineLevel="0" collapsed="false">
      <c r="Q213" s="520"/>
      <c r="R213" s="520"/>
    </row>
    <row r="214" customFormat="false" ht="11.25" hidden="false" customHeight="false" outlineLevel="0" collapsed="false">
      <c r="Q214" s="520"/>
      <c r="R214" s="520"/>
    </row>
    <row r="215" customFormat="false" ht="11.25" hidden="false" customHeight="false" outlineLevel="0" collapsed="false">
      <c r="Q215" s="520"/>
      <c r="R215" s="520"/>
    </row>
    <row r="216" customFormat="false" ht="11.25" hidden="false" customHeight="false" outlineLevel="0" collapsed="false">
      <c r="Q216" s="520"/>
      <c r="R216" s="520"/>
    </row>
    <row r="217" customFormat="false" ht="11.25" hidden="false" customHeight="false" outlineLevel="0" collapsed="false">
      <c r="Q217" s="520"/>
      <c r="R217" s="520"/>
    </row>
    <row r="218" customFormat="false" ht="11.25" hidden="false" customHeight="false" outlineLevel="0" collapsed="false">
      <c r="Q218" s="520"/>
      <c r="R218" s="520"/>
    </row>
    <row r="219" customFormat="false" ht="11.25" hidden="false" customHeight="false" outlineLevel="0" collapsed="false">
      <c r="Q219" s="520"/>
      <c r="R219" s="520"/>
    </row>
    <row r="220" customFormat="false" ht="11.25" hidden="false" customHeight="false" outlineLevel="0" collapsed="false">
      <c r="Q220" s="520"/>
      <c r="R220" s="520"/>
    </row>
    <row r="221" customFormat="false" ht="11.25" hidden="false" customHeight="false" outlineLevel="0" collapsed="false">
      <c r="Q221" s="520"/>
      <c r="R221" s="520"/>
    </row>
    <row r="222" customFormat="false" ht="11.25" hidden="false" customHeight="false" outlineLevel="0" collapsed="false">
      <c r="Q222" s="520"/>
      <c r="R222" s="520"/>
    </row>
    <row r="223" customFormat="false" ht="11.25" hidden="false" customHeight="false" outlineLevel="0" collapsed="false">
      <c r="Q223" s="520"/>
      <c r="R223" s="520"/>
    </row>
    <row r="224" customFormat="false" ht="11.25" hidden="false" customHeight="false" outlineLevel="0" collapsed="false">
      <c r="Q224" s="520"/>
      <c r="R224" s="520"/>
    </row>
    <row r="225" customFormat="false" ht="11.25" hidden="false" customHeight="false" outlineLevel="0" collapsed="false">
      <c r="Q225" s="520"/>
      <c r="R225" s="520"/>
    </row>
    <row r="226" customFormat="false" ht="11.25" hidden="false" customHeight="false" outlineLevel="0" collapsed="false">
      <c r="Q226" s="520"/>
      <c r="R226" s="520"/>
    </row>
    <row r="227" customFormat="false" ht="11.25" hidden="false" customHeight="false" outlineLevel="0" collapsed="false">
      <c r="Q227" s="520"/>
      <c r="R227" s="520"/>
    </row>
    <row r="228" customFormat="false" ht="11.25" hidden="false" customHeight="false" outlineLevel="0" collapsed="false">
      <c r="Q228" s="520"/>
      <c r="R228" s="520"/>
    </row>
    <row r="229" customFormat="false" ht="11.25" hidden="false" customHeight="false" outlineLevel="0" collapsed="false">
      <c r="Q229" s="520"/>
      <c r="R229" s="520"/>
    </row>
    <row r="230" customFormat="false" ht="11.25" hidden="false" customHeight="false" outlineLevel="0" collapsed="false">
      <c r="Q230" s="520"/>
      <c r="R230" s="520"/>
    </row>
    <row r="231" customFormat="false" ht="11.25" hidden="false" customHeight="false" outlineLevel="0" collapsed="false">
      <c r="Q231" s="520"/>
      <c r="R231" s="520"/>
    </row>
    <row r="232" customFormat="false" ht="11.25" hidden="false" customHeight="false" outlineLevel="0" collapsed="false">
      <c r="Q232" s="520"/>
      <c r="R232" s="520"/>
    </row>
    <row r="233" customFormat="false" ht="11.25" hidden="false" customHeight="false" outlineLevel="0" collapsed="false">
      <c r="Q233" s="520"/>
      <c r="R233" s="520"/>
    </row>
    <row r="234" customFormat="false" ht="11.25" hidden="false" customHeight="false" outlineLevel="0" collapsed="false">
      <c r="Q234" s="520"/>
      <c r="R234" s="520"/>
    </row>
    <row r="235" customFormat="false" ht="11.25" hidden="false" customHeight="false" outlineLevel="0" collapsed="false">
      <c r="Q235" s="520"/>
      <c r="R235" s="520"/>
    </row>
    <row r="236" customFormat="false" ht="11.25" hidden="false" customHeight="false" outlineLevel="0" collapsed="false">
      <c r="Q236" s="520"/>
      <c r="R236" s="520"/>
    </row>
    <row r="237" customFormat="false" ht="11.25" hidden="false" customHeight="false" outlineLevel="0" collapsed="false">
      <c r="Q237" s="520"/>
      <c r="R237" s="520"/>
    </row>
    <row r="238" customFormat="false" ht="11.25" hidden="false" customHeight="false" outlineLevel="0" collapsed="false">
      <c r="Q238" s="520"/>
      <c r="R238" s="520"/>
    </row>
    <row r="239" customFormat="false" ht="11.25" hidden="false" customHeight="false" outlineLevel="0" collapsed="false">
      <c r="Q239" s="520"/>
      <c r="R239" s="520"/>
    </row>
    <row r="240" customFormat="false" ht="11.25" hidden="false" customHeight="false" outlineLevel="0" collapsed="false">
      <c r="Q240" s="520"/>
      <c r="R240" s="520"/>
    </row>
    <row r="241" customFormat="false" ht="11.25" hidden="false" customHeight="false" outlineLevel="0" collapsed="false">
      <c r="Q241" s="520"/>
      <c r="R241" s="520"/>
    </row>
    <row r="242" customFormat="false" ht="11.25" hidden="false" customHeight="false" outlineLevel="0" collapsed="false">
      <c r="Q242" s="520"/>
      <c r="R242" s="520"/>
    </row>
    <row r="243" customFormat="false" ht="11.25" hidden="false" customHeight="false" outlineLevel="0" collapsed="false">
      <c r="Q243" s="520"/>
      <c r="R243" s="520"/>
    </row>
    <row r="244" customFormat="false" ht="11.25" hidden="false" customHeight="false" outlineLevel="0" collapsed="false">
      <c r="Q244" s="520"/>
      <c r="R244" s="520"/>
    </row>
    <row r="245" customFormat="false" ht="11.25" hidden="false" customHeight="false" outlineLevel="0" collapsed="false">
      <c r="Q245" s="520"/>
      <c r="R245" s="520"/>
    </row>
    <row r="246" customFormat="false" ht="11.25" hidden="false" customHeight="false" outlineLevel="0" collapsed="false">
      <c r="Q246" s="520"/>
      <c r="R246" s="520"/>
    </row>
    <row r="247" customFormat="false" ht="11.25" hidden="false" customHeight="false" outlineLevel="0" collapsed="false">
      <c r="Q247" s="520"/>
      <c r="R247" s="520"/>
    </row>
    <row r="248" customFormat="false" ht="11.25" hidden="false" customHeight="false" outlineLevel="0" collapsed="false">
      <c r="Q248" s="520"/>
      <c r="R248" s="520"/>
    </row>
    <row r="249" customFormat="false" ht="11.25" hidden="false" customHeight="false" outlineLevel="0" collapsed="false">
      <c r="Q249" s="520"/>
      <c r="R249" s="520"/>
    </row>
    <row r="250" customFormat="false" ht="11.25" hidden="false" customHeight="false" outlineLevel="0" collapsed="false">
      <c r="Q250" s="520"/>
      <c r="R250" s="520"/>
    </row>
    <row r="251" customFormat="false" ht="11.25" hidden="false" customHeight="false" outlineLevel="0" collapsed="false">
      <c r="Q251" s="520"/>
      <c r="R251" s="520"/>
    </row>
    <row r="252" customFormat="false" ht="11.25" hidden="false" customHeight="false" outlineLevel="0" collapsed="false">
      <c r="Q252" s="520"/>
      <c r="R252" s="520"/>
    </row>
    <row r="253" customFormat="false" ht="11.25" hidden="false" customHeight="false" outlineLevel="0" collapsed="false">
      <c r="Q253" s="520"/>
      <c r="R253" s="520"/>
    </row>
    <row r="254" customFormat="false" ht="11.25" hidden="false" customHeight="false" outlineLevel="0" collapsed="false">
      <c r="Q254" s="520"/>
      <c r="R254" s="520"/>
    </row>
    <row r="255" customFormat="false" ht="11.25" hidden="false" customHeight="false" outlineLevel="0" collapsed="false">
      <c r="Q255" s="520"/>
      <c r="R255" s="520"/>
    </row>
    <row r="256" customFormat="false" ht="11.25" hidden="false" customHeight="false" outlineLevel="0" collapsed="false">
      <c r="Q256" s="520"/>
      <c r="R256" s="520"/>
    </row>
    <row r="257" customFormat="false" ht="11.25" hidden="false" customHeight="false" outlineLevel="0" collapsed="false">
      <c r="Q257" s="520"/>
      <c r="R257" s="520"/>
    </row>
    <row r="258" customFormat="false" ht="11.25" hidden="false" customHeight="false" outlineLevel="0" collapsed="false">
      <c r="Q258" s="520"/>
      <c r="R258" s="520"/>
    </row>
    <row r="259" customFormat="false" ht="11.25" hidden="false" customHeight="false" outlineLevel="0" collapsed="false">
      <c r="Q259" s="520"/>
      <c r="R259" s="520"/>
    </row>
    <row r="260" customFormat="false" ht="11.25" hidden="false" customHeight="false" outlineLevel="0" collapsed="false">
      <c r="Q260" s="520"/>
      <c r="R260" s="520"/>
    </row>
    <row r="261" customFormat="false" ht="11.25" hidden="false" customHeight="false" outlineLevel="0" collapsed="false">
      <c r="Q261" s="520"/>
      <c r="R261" s="520"/>
    </row>
    <row r="262" customFormat="false" ht="11.25" hidden="false" customHeight="false" outlineLevel="0" collapsed="false">
      <c r="Q262" s="520"/>
      <c r="R262" s="520"/>
    </row>
    <row r="263" customFormat="false" ht="11.25" hidden="false" customHeight="false" outlineLevel="0" collapsed="false">
      <c r="Q263" s="520"/>
      <c r="R263" s="520"/>
    </row>
    <row r="264" customFormat="false" ht="11.25" hidden="false" customHeight="false" outlineLevel="0" collapsed="false">
      <c r="Q264" s="520"/>
      <c r="R264" s="520"/>
    </row>
    <row r="265" customFormat="false" ht="11.25" hidden="false" customHeight="false" outlineLevel="0" collapsed="false">
      <c r="Q265" s="520"/>
      <c r="R265" s="520"/>
    </row>
    <row r="266" customFormat="false" ht="11.25" hidden="false" customHeight="false" outlineLevel="0" collapsed="false">
      <c r="Q266" s="520"/>
      <c r="R266" s="520"/>
    </row>
    <row r="267" customFormat="false" ht="11.25" hidden="false" customHeight="false" outlineLevel="0" collapsed="false">
      <c r="Q267" s="520"/>
      <c r="R267" s="520"/>
    </row>
    <row r="268" customFormat="false" ht="11.25" hidden="false" customHeight="false" outlineLevel="0" collapsed="false">
      <c r="Q268" s="520"/>
      <c r="R268" s="520"/>
    </row>
    <row r="269" customFormat="false" ht="11.25" hidden="false" customHeight="false" outlineLevel="0" collapsed="false">
      <c r="Q269" s="520"/>
      <c r="R269" s="520"/>
    </row>
    <row r="270" customFormat="false" ht="11.25" hidden="false" customHeight="false" outlineLevel="0" collapsed="false">
      <c r="Q270" s="520"/>
      <c r="R270" s="520"/>
    </row>
    <row r="271" customFormat="false" ht="11.25" hidden="false" customHeight="false" outlineLevel="0" collapsed="false">
      <c r="Q271" s="520"/>
      <c r="R271" s="520"/>
    </row>
    <row r="272" customFormat="false" ht="11.25" hidden="false" customHeight="false" outlineLevel="0" collapsed="false">
      <c r="Q272" s="520"/>
      <c r="R272" s="520"/>
    </row>
    <row r="290" customFormat="false" ht="11.45" hidden="false" customHeight="true" outlineLevel="0" collapsed="false">
      <c r="Q290" s="520"/>
      <c r="R290" s="520"/>
    </row>
    <row r="291" customFormat="false" ht="11.45" hidden="false" customHeight="true" outlineLevel="0" collapsed="false">
      <c r="Q291" s="520"/>
      <c r="R291" s="520"/>
    </row>
    <row r="292" customFormat="false" ht="11.45" hidden="false" customHeight="true" outlineLevel="0" collapsed="false">
      <c r="Q292" s="520"/>
      <c r="R292" s="520"/>
    </row>
    <row r="293" customFormat="false" ht="11.45" hidden="false" customHeight="true" outlineLevel="0" collapsed="false">
      <c r="F293" s="518"/>
      <c r="Q293" s="520"/>
      <c r="R293" s="520"/>
    </row>
    <row r="294" customFormat="false" ht="11.25" hidden="false" customHeight="false" outlineLevel="0" collapsed="false">
      <c r="G294" s="560"/>
      <c r="Q294" s="520"/>
      <c r="R294" s="520"/>
    </row>
    <row r="295" customFormat="false" ht="12.75" hidden="false" customHeight="false" outlineLevel="0" collapsed="false">
      <c r="G295" s="1"/>
      <c r="Q295" s="520"/>
      <c r="R295" s="520"/>
    </row>
    <row r="296" customFormat="false" ht="12.75" hidden="false" customHeight="false" outlineLevel="0" collapsed="false">
      <c r="G296" s="1"/>
      <c r="Q296" s="520"/>
      <c r="R296" s="520"/>
    </row>
    <row r="297" customFormat="false" ht="12.75" hidden="false" customHeight="false" outlineLevel="0" collapsed="false">
      <c r="G297" s="1"/>
      <c r="Q297" s="520"/>
      <c r="R297" s="520"/>
    </row>
    <row r="298" customFormat="false" ht="12.75" hidden="false" customHeight="false" outlineLevel="0" collapsed="false">
      <c r="G298" s="1"/>
      <c r="Q298" s="520"/>
      <c r="R298" s="520"/>
    </row>
    <row r="299" customFormat="false" ht="12.75" hidden="false" customHeight="false" outlineLevel="0" collapsed="false">
      <c r="G299" s="1"/>
      <c r="Q299" s="520"/>
      <c r="R299" s="520"/>
    </row>
    <row r="300" customFormat="false" ht="12.75" hidden="false" customHeight="false" outlineLevel="0" collapsed="false">
      <c r="G300" s="1"/>
      <c r="Q300" s="520"/>
      <c r="R300" s="520"/>
    </row>
    <row r="301" customFormat="false" ht="12.75" hidden="false" customHeight="false" outlineLevel="0" collapsed="false">
      <c r="G301" s="1"/>
      <c r="Q301" s="520"/>
      <c r="R301" s="520"/>
    </row>
    <row r="302" customFormat="false" ht="12.75" hidden="false" customHeight="false" outlineLevel="0" collapsed="false">
      <c r="G302" s="1"/>
      <c r="Q302" s="520"/>
      <c r="R302" s="520"/>
    </row>
    <row r="303" customFormat="false" ht="12.75" hidden="false" customHeight="false" outlineLevel="0" collapsed="false">
      <c r="A303" s="1"/>
      <c r="B303" s="1"/>
      <c r="C303" s="1"/>
      <c r="D303" s="1"/>
      <c r="E303" s="1"/>
      <c r="F303" s="1"/>
      <c r="G303" s="1"/>
      <c r="Q303" s="520"/>
      <c r="R303" s="520"/>
    </row>
    <row r="304" customFormat="false" ht="11.45" hidden="false" customHeight="true" outlineLevel="0" collapsed="false">
      <c r="A304" s="1"/>
      <c r="B304" s="1"/>
      <c r="C304" s="1"/>
      <c r="D304" s="1"/>
      <c r="E304" s="1"/>
      <c r="F304" s="1"/>
      <c r="Q304" s="520"/>
      <c r="R304" s="520"/>
      <c r="S304" s="520"/>
    </row>
    <row r="305" customFormat="false" ht="11.45" hidden="false" customHeight="true" outlineLevel="0" collapsed="false">
      <c r="A305" s="525"/>
      <c r="B305" s="525"/>
      <c r="C305" s="533"/>
      <c r="D305" s="533"/>
      <c r="E305" s="533"/>
      <c r="F305" s="552"/>
      <c r="G305" s="590"/>
      <c r="H305" s="590"/>
      <c r="I305" s="590"/>
      <c r="J305" s="590"/>
      <c r="K305" s="590"/>
      <c r="L305" s="590"/>
      <c r="M305" s="590"/>
      <c r="N305" s="590"/>
      <c r="O305" s="590"/>
      <c r="P305" s="590"/>
      <c r="Q305" s="591"/>
      <c r="R305" s="591"/>
      <c r="S305" s="591"/>
      <c r="T305" s="591"/>
      <c r="U305" s="591"/>
      <c r="V305" s="591"/>
      <c r="W305" s="591"/>
      <c r="X305" s="591"/>
      <c r="Y305" s="591"/>
      <c r="Z305" s="591"/>
      <c r="AA305" s="591"/>
      <c r="AB305" s="591"/>
      <c r="AC305" s="591"/>
      <c r="AD305" s="591"/>
      <c r="AE305" s="591"/>
      <c r="AF305" s="591"/>
    </row>
    <row r="306" customFormat="false" ht="11.45" hidden="false" customHeight="true" outlineLevel="0" collapsed="false">
      <c r="A306" s="533"/>
      <c r="B306" s="533"/>
      <c r="C306" s="525"/>
      <c r="D306" s="525"/>
      <c r="E306" s="525"/>
      <c r="F306" s="590"/>
      <c r="G306" s="592"/>
      <c r="H306" s="592"/>
      <c r="I306" s="592"/>
      <c r="J306" s="592"/>
      <c r="K306" s="592"/>
      <c r="L306" s="592"/>
      <c r="M306" s="592"/>
      <c r="N306" s="592"/>
      <c r="O306" s="592"/>
      <c r="P306" s="592"/>
      <c r="Q306" s="593"/>
      <c r="R306" s="593"/>
      <c r="S306" s="593"/>
      <c r="T306" s="593"/>
      <c r="U306" s="593"/>
      <c r="V306" s="593"/>
      <c r="W306" s="593"/>
      <c r="X306" s="593"/>
      <c r="Y306" s="593"/>
      <c r="Z306" s="593"/>
      <c r="AA306" s="593"/>
      <c r="AB306" s="593"/>
      <c r="AC306" s="593"/>
      <c r="AD306" s="593"/>
      <c r="AE306" s="593"/>
      <c r="AF306" s="593"/>
    </row>
    <row r="307" customFormat="false" ht="11.45" hidden="false" customHeight="true" outlineLevel="0" collapsed="false">
      <c r="A307" s="533"/>
      <c r="B307" s="533"/>
      <c r="C307" s="525"/>
      <c r="D307" s="525"/>
      <c r="E307" s="525"/>
      <c r="F307" s="592"/>
      <c r="Q307" s="520"/>
      <c r="R307" s="520"/>
      <c r="S307" s="520"/>
    </row>
    <row r="308" customFormat="false" ht="11.45" hidden="false" customHeight="true" outlineLevel="0" collapsed="false">
      <c r="A308" s="525"/>
      <c r="B308" s="525"/>
      <c r="C308" s="533"/>
      <c r="D308" s="533"/>
      <c r="E308" s="533"/>
      <c r="F308" s="552"/>
      <c r="G308" s="533"/>
      <c r="H308" s="533"/>
      <c r="I308" s="533"/>
      <c r="J308" s="533"/>
      <c r="K308" s="533"/>
      <c r="L308" s="533"/>
      <c r="M308" s="533"/>
      <c r="N308" s="533"/>
      <c r="O308" s="533"/>
      <c r="P308" s="533"/>
      <c r="Q308" s="595"/>
      <c r="R308" s="595"/>
      <c r="S308" s="595"/>
      <c r="T308" s="595"/>
      <c r="U308" s="595"/>
      <c r="V308" s="595"/>
      <c r="W308" s="595"/>
      <c r="X308" s="595"/>
      <c r="Y308" s="595"/>
      <c r="Z308" s="595"/>
      <c r="AA308" s="595"/>
      <c r="AB308" s="595"/>
      <c r="AC308" s="595"/>
      <c r="AD308" s="595"/>
      <c r="AE308" s="595"/>
      <c r="AF308" s="595"/>
    </row>
    <row r="309" customFormat="false" ht="11.45" hidden="false" customHeight="true" outlineLevel="0" collapsed="false">
      <c r="A309" s="525"/>
      <c r="B309" s="525"/>
      <c r="C309" s="533"/>
      <c r="D309" s="533"/>
      <c r="E309" s="533"/>
      <c r="F309" s="533"/>
      <c r="G309" s="590"/>
      <c r="H309" s="590"/>
      <c r="I309" s="590"/>
      <c r="J309" s="590"/>
      <c r="K309" s="590"/>
      <c r="L309" s="590"/>
      <c r="M309" s="590"/>
      <c r="N309" s="590"/>
      <c r="O309" s="590"/>
      <c r="P309" s="590"/>
      <c r="Q309" s="591"/>
      <c r="R309" s="591"/>
      <c r="S309" s="591"/>
      <c r="T309" s="591"/>
      <c r="U309" s="591"/>
      <c r="V309" s="591"/>
      <c r="W309" s="591"/>
      <c r="X309" s="591"/>
      <c r="Y309" s="591"/>
      <c r="Z309" s="591"/>
      <c r="AA309" s="591"/>
      <c r="AB309" s="591"/>
      <c r="AC309" s="591"/>
      <c r="AD309" s="591"/>
      <c r="AE309" s="591"/>
      <c r="AF309" s="591"/>
    </row>
    <row r="310" customFormat="false" ht="11.45" hidden="false" customHeight="true" outlineLevel="0" collapsed="false">
      <c r="A310" s="525"/>
      <c r="B310" s="525"/>
      <c r="C310" s="525"/>
      <c r="D310" s="525"/>
      <c r="E310" s="525"/>
      <c r="F310" s="590"/>
      <c r="G310" s="596"/>
      <c r="H310" s="596"/>
      <c r="I310" s="596"/>
      <c r="J310" s="596"/>
      <c r="K310" s="596"/>
      <c r="L310" s="596"/>
      <c r="M310" s="596"/>
      <c r="N310" s="596"/>
      <c r="O310" s="596"/>
      <c r="P310" s="596"/>
      <c r="Q310" s="597"/>
      <c r="R310" s="597"/>
      <c r="S310" s="597"/>
      <c r="T310" s="597"/>
      <c r="U310" s="597"/>
      <c r="V310" s="597"/>
      <c r="W310" s="597"/>
      <c r="X310" s="597"/>
      <c r="Y310" s="597"/>
      <c r="Z310" s="597"/>
      <c r="AA310" s="597"/>
      <c r="AB310" s="597"/>
      <c r="AC310" s="597"/>
      <c r="AD310" s="597"/>
      <c r="AE310" s="597"/>
      <c r="AF310" s="597"/>
    </row>
    <row r="311" customFormat="false" ht="11.45" hidden="false" customHeight="true" outlineLevel="0" collapsed="false">
      <c r="A311" s="525"/>
      <c r="B311" s="525"/>
      <c r="C311" s="533"/>
      <c r="D311" s="533"/>
      <c r="E311" s="533"/>
      <c r="F311" s="533"/>
      <c r="G311" s="596"/>
      <c r="H311" s="596"/>
      <c r="I311" s="596"/>
      <c r="J311" s="596"/>
      <c r="K311" s="596"/>
      <c r="L311" s="596"/>
      <c r="M311" s="596"/>
      <c r="N311" s="596"/>
      <c r="O311" s="596"/>
      <c r="P311" s="596"/>
      <c r="Q311" s="597"/>
      <c r="R311" s="597"/>
      <c r="S311" s="597"/>
      <c r="T311" s="597"/>
      <c r="U311" s="597"/>
      <c r="V311" s="597"/>
      <c r="W311" s="597"/>
      <c r="X311" s="597"/>
      <c r="Y311" s="597"/>
      <c r="Z311" s="597"/>
      <c r="AA311" s="597"/>
      <c r="AB311" s="597"/>
      <c r="AC311" s="597"/>
      <c r="AD311" s="597"/>
      <c r="AE311" s="597"/>
      <c r="AF311" s="597"/>
    </row>
    <row r="312" customFormat="false" ht="11.45" hidden="false" customHeight="true" outlineLevel="0" collapsed="false">
      <c r="A312" s="525"/>
      <c r="B312" s="525"/>
      <c r="C312" s="525"/>
      <c r="D312" s="525"/>
      <c r="E312" s="525"/>
      <c r="F312" s="533"/>
      <c r="G312" s="596"/>
      <c r="H312" s="596"/>
      <c r="I312" s="596"/>
      <c r="J312" s="596"/>
      <c r="K312" s="596"/>
      <c r="L312" s="596"/>
      <c r="M312" s="596"/>
      <c r="N312" s="596"/>
      <c r="O312" s="596"/>
      <c r="P312" s="596"/>
      <c r="Q312" s="597"/>
      <c r="R312" s="597"/>
      <c r="S312" s="597"/>
      <c r="T312" s="597"/>
      <c r="U312" s="597"/>
      <c r="V312" s="597"/>
      <c r="W312" s="597"/>
      <c r="X312" s="597"/>
      <c r="Y312" s="597"/>
      <c r="Z312" s="597"/>
      <c r="AA312" s="597"/>
      <c r="AB312" s="597"/>
      <c r="AC312" s="597"/>
      <c r="AD312" s="597"/>
      <c r="AE312" s="597"/>
      <c r="AF312" s="597"/>
    </row>
    <row r="313" customFormat="false" ht="11.25" hidden="false" customHeight="false" outlineLevel="0" collapsed="false">
      <c r="A313" s="525"/>
      <c r="B313" s="525"/>
      <c r="C313" s="525"/>
      <c r="D313" s="525"/>
      <c r="E313" s="525"/>
      <c r="F313" s="533"/>
    </row>
  </sheetData>
  <printOptions headings="false" gridLines="false" gridLinesSet="true" horizontalCentered="false" verticalCentered="false"/>
  <pageMargins left="0.25" right="0.25" top="0.25" bottom="0.5" header="0.511811023622047" footer="0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   &amp;T&amp;R&amp;F
&amp;A &amp;P</oddFooter>
  </headerFooter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IW45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E43" activeCellId="0" sqref="E43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55.7"/>
    <col collapsed="false" customWidth="true" hidden="false" outlineLevel="0" max="2" min="2" style="1" width="9.7"/>
    <col collapsed="false" customWidth="true" hidden="false" outlineLevel="0" max="3" min="3" style="599" width="8.99"/>
    <col collapsed="false" customWidth="true" hidden="false" outlineLevel="0" max="4" min="4" style="321" width="14.85"/>
    <col collapsed="false" customWidth="true" hidden="false" outlineLevel="0" max="5" min="5" style="321" width="14.14"/>
    <col collapsed="false" customWidth="true" hidden="false" outlineLevel="0" max="6" min="6" style="321" width="11.13"/>
    <col collapsed="false" customWidth="true" hidden="false" outlineLevel="0" max="9" min="7" style="321" width="11.56"/>
    <col collapsed="false" customWidth="true" hidden="false" outlineLevel="0" max="10" min="10" style="321" width="11.28"/>
    <col collapsed="false" customWidth="true" hidden="false" outlineLevel="0" max="11" min="11" style="321" width="11.56"/>
    <col collapsed="false" customWidth="true" hidden="false" outlineLevel="0" max="12" min="12" style="321" width="11.28"/>
    <col collapsed="false" customWidth="true" hidden="false" outlineLevel="0" max="14" min="13" style="321" width="11.56"/>
    <col collapsed="false" customWidth="true" hidden="false" outlineLevel="0" max="15" min="15" style="321" width="11.13"/>
    <col collapsed="false" customWidth="true" hidden="false" outlineLevel="0" max="16" min="16" style="321" width="10.56"/>
    <col collapsed="false" customWidth="true" hidden="false" outlineLevel="0" max="19" min="17" style="321" width="11.13"/>
    <col collapsed="false" customWidth="true" hidden="false" outlineLevel="0" max="20" min="20" style="321" width="10.85"/>
    <col collapsed="false" customWidth="true" hidden="false" outlineLevel="0" max="21" min="21" style="321" width="11.13"/>
    <col collapsed="false" customWidth="true" hidden="false" outlineLevel="0" max="22" min="22" style="321" width="10.85"/>
    <col collapsed="false" customWidth="true" hidden="false" outlineLevel="0" max="24" min="23" style="321" width="11.13"/>
    <col collapsed="false" customWidth="true" hidden="false" outlineLevel="0" max="34" min="25" style="321" width="11.56"/>
    <col collapsed="false" customWidth="false" hidden="false" outlineLevel="0" max="257" min="35" style="1" width="9.14"/>
  </cols>
  <sheetData>
    <row r="2" customFormat="false" ht="21" hidden="false" customHeight="true" outlineLevel="0" collapsed="false">
      <c r="A2" s="6" t="str">
        <f aca="false">Assumptions!B3</f>
        <v>PROJECT NAME: SANTEE COOPER</v>
      </c>
    </row>
    <row r="4" customFormat="false" ht="18.75" hidden="false" customHeight="false" outlineLevel="0" collapsed="false">
      <c r="A4" s="323" t="s">
        <v>401</v>
      </c>
    </row>
    <row r="6" customFormat="false" ht="12.75" hidden="false" customHeight="false" outlineLevel="0" collapsed="false">
      <c r="D6" s="325" t="n">
        <f aca="false">'Power Price Assumption'!F9</f>
        <v>0.668493150684932</v>
      </c>
      <c r="E6" s="325" t="n">
        <f aca="false">'Power Price Assumption'!G9</f>
        <v>1.66849315068493</v>
      </c>
      <c r="F6" s="325" t="n">
        <f aca="false">'Power Price Assumption'!H9</f>
        <v>2.66849315068493</v>
      </c>
      <c r="G6" s="325" t="n">
        <f aca="false">'Power Price Assumption'!I9</f>
        <v>3.66849315068493</v>
      </c>
      <c r="H6" s="325" t="n">
        <f aca="false">'Power Price Assumption'!J9</f>
        <v>4.66849315068493</v>
      </c>
      <c r="I6" s="325" t="n">
        <f aca="false">'Power Price Assumption'!K9</f>
        <v>5.66849315068493</v>
      </c>
      <c r="J6" s="325" t="n">
        <f aca="false">'Power Price Assumption'!L9</f>
        <v>6.66849315068493</v>
      </c>
      <c r="K6" s="325" t="n">
        <f aca="false">'Power Price Assumption'!M9</f>
        <v>7.66849315068493</v>
      </c>
      <c r="L6" s="325" t="n">
        <f aca="false">'Power Price Assumption'!N9</f>
        <v>8.66849315068493</v>
      </c>
      <c r="M6" s="325" t="n">
        <f aca="false">'Power Price Assumption'!O9</f>
        <v>9.66849315068493</v>
      </c>
      <c r="N6" s="325" t="n">
        <f aca="false">'Power Price Assumption'!P9</f>
        <v>10.6684931506849</v>
      </c>
      <c r="O6" s="325" t="n">
        <f aca="false">'Power Price Assumption'!Q9</f>
        <v>11.6684931506849</v>
      </c>
      <c r="P6" s="325" t="n">
        <f aca="false">'Power Price Assumption'!R9</f>
        <v>12.6684931506849</v>
      </c>
      <c r="Q6" s="325" t="n">
        <f aca="false">'Power Price Assumption'!S9</f>
        <v>13.6684931506849</v>
      </c>
      <c r="R6" s="325" t="n">
        <f aca="false">'Power Price Assumption'!T9</f>
        <v>14.6684931506849</v>
      </c>
      <c r="S6" s="325" t="n">
        <f aca="false">'Power Price Assumption'!U9</f>
        <v>15.6684931506849</v>
      </c>
      <c r="T6" s="325" t="n">
        <f aca="false">'Power Price Assumption'!V9</f>
        <v>16.6684931506849</v>
      </c>
      <c r="U6" s="325" t="n">
        <f aca="false">'Power Price Assumption'!W9</f>
        <v>17.6684931506849</v>
      </c>
      <c r="V6" s="325" t="n">
        <f aca="false">'Power Price Assumption'!X9</f>
        <v>18.6684931506849</v>
      </c>
      <c r="W6" s="325" t="n">
        <f aca="false">'Power Price Assumption'!Y9</f>
        <v>19.6684931506849</v>
      </c>
      <c r="X6" s="325" t="n">
        <f aca="false">'Power Price Assumption'!Z9</f>
        <v>20.6684931506849</v>
      </c>
      <c r="Y6" s="325" t="n">
        <f aca="false">'Power Price Assumption'!AA9</f>
        <v>21.6684931506849</v>
      </c>
      <c r="Z6" s="325" t="n">
        <f aca="false">'Power Price Assumption'!AB9</f>
        <v>22.6684931506849</v>
      </c>
      <c r="AA6" s="325" t="n">
        <f aca="false">'Power Price Assumption'!AC9</f>
        <v>23.6684931506849</v>
      </c>
      <c r="AB6" s="325" t="n">
        <f aca="false">'Power Price Assumption'!AD9</f>
        <v>24.6684931506849</v>
      </c>
      <c r="AC6" s="325" t="n">
        <f aca="false">'Power Price Assumption'!AE9</f>
        <v>25.6684931506849</v>
      </c>
      <c r="AD6" s="325" t="n">
        <f aca="false">'Power Price Assumption'!AF9</f>
        <v>26.6684931506849</v>
      </c>
      <c r="AE6" s="325" t="n">
        <f aca="false">'Power Price Assumption'!AG9</f>
        <v>27.6684931506849</v>
      </c>
      <c r="AF6" s="325" t="n">
        <f aca="false">'Power Price Assumption'!AH9</f>
        <v>28.6684931506849</v>
      </c>
      <c r="AG6" s="325" t="n">
        <f aca="false">'Power Price Assumption'!AI9</f>
        <v>29.6684931506849</v>
      </c>
      <c r="AH6" s="325" t="n">
        <f aca="false">'Power Price Assumption'!AJ9</f>
        <v>30.6684931506849</v>
      </c>
    </row>
    <row r="7" customFormat="false" ht="13.5" hidden="false" customHeight="false" outlineLevel="0" collapsed="false">
      <c r="A7" s="326" t="s">
        <v>247</v>
      </c>
      <c r="B7" s="600"/>
      <c r="C7" s="600"/>
      <c r="D7" s="328" t="n">
        <f aca="false">'Power Price Assumption'!F10</f>
        <v>2001</v>
      </c>
      <c r="E7" s="328" t="n">
        <f aca="false">'Power Price Assumption'!G10</f>
        <v>2002</v>
      </c>
      <c r="F7" s="328" t="n">
        <f aca="false">'Power Price Assumption'!H10</f>
        <v>2003</v>
      </c>
      <c r="G7" s="328" t="n">
        <f aca="false">'Power Price Assumption'!I10</f>
        <v>2004</v>
      </c>
      <c r="H7" s="328" t="n">
        <f aca="false">'Power Price Assumption'!J10</f>
        <v>2005</v>
      </c>
      <c r="I7" s="328" t="n">
        <f aca="false">'Power Price Assumption'!K10</f>
        <v>2006</v>
      </c>
      <c r="J7" s="328" t="n">
        <f aca="false">'Power Price Assumption'!L10</f>
        <v>2007</v>
      </c>
      <c r="K7" s="328" t="n">
        <f aca="false">'Power Price Assumption'!M10</f>
        <v>2008</v>
      </c>
      <c r="L7" s="328" t="n">
        <f aca="false">'Power Price Assumption'!N10</f>
        <v>2009</v>
      </c>
      <c r="M7" s="328" t="n">
        <f aca="false">'Power Price Assumption'!O10</f>
        <v>2010</v>
      </c>
      <c r="N7" s="328" t="n">
        <f aca="false">'Power Price Assumption'!P10</f>
        <v>2011</v>
      </c>
      <c r="O7" s="328" t="n">
        <f aca="false">'Power Price Assumption'!Q10</f>
        <v>2012</v>
      </c>
      <c r="P7" s="328" t="n">
        <f aca="false">'Power Price Assumption'!R10</f>
        <v>2013</v>
      </c>
      <c r="Q7" s="328" t="n">
        <f aca="false">'Power Price Assumption'!S10</f>
        <v>2014</v>
      </c>
      <c r="R7" s="328" t="n">
        <f aca="false">'Power Price Assumption'!T10</f>
        <v>2015</v>
      </c>
      <c r="S7" s="328" t="n">
        <f aca="false">'Power Price Assumption'!U10</f>
        <v>2016</v>
      </c>
      <c r="T7" s="328" t="n">
        <f aca="false">'Power Price Assumption'!V10</f>
        <v>2017</v>
      </c>
      <c r="U7" s="328" t="n">
        <f aca="false">'Power Price Assumption'!W10</f>
        <v>2018</v>
      </c>
      <c r="V7" s="328" t="n">
        <f aca="false">'Power Price Assumption'!X10</f>
        <v>2019</v>
      </c>
      <c r="W7" s="328" t="n">
        <f aca="false">'Power Price Assumption'!Y10</f>
        <v>2020</v>
      </c>
      <c r="X7" s="328" t="n">
        <f aca="false">'Power Price Assumption'!Z10</f>
        <v>2021</v>
      </c>
      <c r="Y7" s="328" t="n">
        <f aca="false">'Power Price Assumption'!AA10</f>
        <v>2022</v>
      </c>
      <c r="Z7" s="328" t="n">
        <f aca="false">'Power Price Assumption'!AB10</f>
        <v>2023</v>
      </c>
      <c r="AA7" s="328" t="n">
        <f aca="false">'Power Price Assumption'!AC10</f>
        <v>2024</v>
      </c>
      <c r="AB7" s="328" t="n">
        <f aca="false">'Power Price Assumption'!AD10</f>
        <v>2025</v>
      </c>
      <c r="AC7" s="328" t="n">
        <f aca="false">'Power Price Assumption'!AE10</f>
        <v>2026</v>
      </c>
      <c r="AD7" s="328" t="n">
        <f aca="false">'Power Price Assumption'!AF10</f>
        <v>2027</v>
      </c>
      <c r="AE7" s="328" t="n">
        <f aca="false">'Power Price Assumption'!AG10</f>
        <v>2028</v>
      </c>
      <c r="AF7" s="328" t="n">
        <f aca="false">'Power Price Assumption'!AH10</f>
        <v>2029</v>
      </c>
      <c r="AG7" s="328" t="n">
        <f aca="false">'Power Price Assumption'!AI10</f>
        <v>2030</v>
      </c>
      <c r="AH7" s="328" t="n">
        <f aca="false">'Power Price Assumption'!AJ10</f>
        <v>2031</v>
      </c>
      <c r="AI7" s="601"/>
      <c r="AJ7" s="601"/>
      <c r="AK7" s="601"/>
      <c r="AL7" s="601"/>
      <c r="AM7" s="601"/>
      <c r="AN7" s="601"/>
      <c r="AO7" s="601"/>
      <c r="AP7" s="601"/>
      <c r="AQ7" s="601"/>
      <c r="AR7" s="601"/>
      <c r="AS7" s="601"/>
      <c r="AT7" s="601"/>
      <c r="AU7" s="601"/>
      <c r="AV7" s="601"/>
      <c r="AW7" s="601"/>
      <c r="AX7" s="601"/>
      <c r="AY7" s="601"/>
      <c r="AZ7" s="601"/>
      <c r="BA7" s="601"/>
      <c r="BB7" s="601"/>
      <c r="BC7" s="601"/>
      <c r="BD7" s="601"/>
      <c r="BE7" s="601"/>
      <c r="BF7" s="601"/>
      <c r="BG7" s="601"/>
      <c r="BH7" s="601"/>
      <c r="BI7" s="601"/>
      <c r="BJ7" s="601"/>
      <c r="BK7" s="601"/>
      <c r="BL7" s="601"/>
      <c r="BM7" s="601"/>
      <c r="BN7" s="601"/>
      <c r="BO7" s="601"/>
      <c r="BP7" s="601"/>
      <c r="BQ7" s="601"/>
      <c r="BR7" s="601"/>
      <c r="BS7" s="601"/>
      <c r="BT7" s="601"/>
      <c r="BU7" s="601"/>
      <c r="BV7" s="601"/>
      <c r="BW7" s="601"/>
      <c r="BX7" s="601"/>
      <c r="BY7" s="601"/>
      <c r="BZ7" s="601"/>
      <c r="CA7" s="601"/>
      <c r="CB7" s="601"/>
      <c r="CC7" s="601"/>
      <c r="CD7" s="601"/>
      <c r="CE7" s="601"/>
      <c r="CF7" s="601"/>
      <c r="CG7" s="601"/>
      <c r="CH7" s="601"/>
      <c r="CI7" s="601"/>
      <c r="CJ7" s="601"/>
      <c r="CK7" s="601"/>
      <c r="CL7" s="601"/>
      <c r="CM7" s="601"/>
      <c r="CN7" s="601"/>
      <c r="CO7" s="601"/>
      <c r="CP7" s="601"/>
      <c r="CQ7" s="601"/>
      <c r="CR7" s="601"/>
      <c r="CS7" s="601"/>
      <c r="CT7" s="601"/>
      <c r="CU7" s="601"/>
      <c r="CV7" s="601"/>
      <c r="CW7" s="601"/>
      <c r="CX7" s="601"/>
      <c r="CY7" s="601"/>
      <c r="CZ7" s="601"/>
      <c r="DA7" s="601"/>
      <c r="DB7" s="601"/>
      <c r="DC7" s="601"/>
      <c r="DD7" s="601"/>
      <c r="DE7" s="601"/>
      <c r="DF7" s="601"/>
      <c r="DG7" s="601"/>
      <c r="DH7" s="601"/>
      <c r="DI7" s="601"/>
      <c r="DJ7" s="601"/>
      <c r="DK7" s="601"/>
      <c r="DL7" s="601"/>
      <c r="DM7" s="601"/>
      <c r="DN7" s="601"/>
      <c r="DO7" s="601"/>
      <c r="DP7" s="601"/>
      <c r="DQ7" s="601"/>
      <c r="DR7" s="601"/>
      <c r="DS7" s="601"/>
      <c r="DT7" s="601"/>
      <c r="DU7" s="601"/>
      <c r="DV7" s="601"/>
      <c r="DW7" s="601"/>
      <c r="DX7" s="601"/>
      <c r="DY7" s="601"/>
      <c r="DZ7" s="601"/>
      <c r="EA7" s="601"/>
      <c r="EB7" s="601"/>
      <c r="EC7" s="601"/>
      <c r="ED7" s="601"/>
      <c r="EE7" s="601"/>
      <c r="EF7" s="601"/>
      <c r="EG7" s="601"/>
      <c r="EH7" s="601"/>
      <c r="EI7" s="601"/>
      <c r="EJ7" s="601"/>
      <c r="EK7" s="601"/>
      <c r="EL7" s="601"/>
      <c r="EM7" s="601"/>
      <c r="EN7" s="601"/>
      <c r="EO7" s="601"/>
      <c r="EP7" s="601"/>
      <c r="EQ7" s="601"/>
      <c r="ER7" s="601"/>
      <c r="ES7" s="601"/>
      <c r="ET7" s="601"/>
      <c r="EU7" s="601"/>
      <c r="EV7" s="601"/>
      <c r="EW7" s="601"/>
      <c r="EX7" s="601"/>
      <c r="EY7" s="601"/>
      <c r="EZ7" s="601"/>
      <c r="FA7" s="601"/>
      <c r="FB7" s="601"/>
      <c r="FC7" s="601"/>
      <c r="FD7" s="601"/>
      <c r="FE7" s="601"/>
      <c r="FF7" s="601"/>
      <c r="FG7" s="601"/>
      <c r="FH7" s="601"/>
      <c r="FI7" s="601"/>
      <c r="FJ7" s="601"/>
      <c r="FK7" s="601"/>
      <c r="FL7" s="601"/>
      <c r="FM7" s="601"/>
      <c r="FN7" s="601"/>
      <c r="FO7" s="601"/>
      <c r="FP7" s="601"/>
      <c r="FQ7" s="601"/>
      <c r="FR7" s="601"/>
      <c r="FS7" s="601"/>
      <c r="FT7" s="601"/>
      <c r="FU7" s="601"/>
      <c r="FV7" s="601"/>
      <c r="FW7" s="601"/>
      <c r="FX7" s="601"/>
      <c r="FY7" s="601"/>
      <c r="FZ7" s="601"/>
      <c r="GA7" s="601"/>
      <c r="GB7" s="601"/>
      <c r="GC7" s="601"/>
      <c r="GD7" s="601"/>
      <c r="GE7" s="601"/>
      <c r="GF7" s="601"/>
      <c r="GG7" s="601"/>
      <c r="GH7" s="601"/>
      <c r="GI7" s="601"/>
      <c r="GJ7" s="601"/>
      <c r="GK7" s="601"/>
      <c r="GL7" s="601"/>
      <c r="GM7" s="601"/>
      <c r="GN7" s="601"/>
      <c r="GO7" s="601"/>
      <c r="GP7" s="601"/>
      <c r="GQ7" s="601"/>
      <c r="GR7" s="601"/>
      <c r="GS7" s="601"/>
      <c r="GT7" s="601"/>
      <c r="GU7" s="601"/>
      <c r="GV7" s="601"/>
      <c r="GW7" s="601"/>
      <c r="GX7" s="601"/>
      <c r="GY7" s="601"/>
      <c r="GZ7" s="601"/>
      <c r="HA7" s="601"/>
      <c r="HB7" s="601"/>
      <c r="HC7" s="601"/>
      <c r="HD7" s="601"/>
      <c r="HE7" s="601"/>
      <c r="HF7" s="601"/>
      <c r="HG7" s="601"/>
      <c r="HH7" s="601"/>
      <c r="HI7" s="601"/>
      <c r="HJ7" s="601"/>
      <c r="HK7" s="601"/>
      <c r="HL7" s="601"/>
      <c r="HM7" s="601"/>
      <c r="HN7" s="601"/>
      <c r="HO7" s="601"/>
      <c r="HP7" s="601"/>
      <c r="HQ7" s="601"/>
      <c r="HR7" s="601"/>
      <c r="HS7" s="601"/>
      <c r="HT7" s="601"/>
      <c r="HU7" s="601"/>
      <c r="HV7" s="601"/>
      <c r="HW7" s="601"/>
      <c r="HX7" s="601"/>
      <c r="HY7" s="601"/>
      <c r="HZ7" s="601"/>
      <c r="IA7" s="601"/>
      <c r="IB7" s="601"/>
      <c r="IC7" s="601"/>
      <c r="ID7" s="601"/>
      <c r="IE7" s="601"/>
      <c r="IF7" s="601"/>
      <c r="IG7" s="601"/>
      <c r="IH7" s="601"/>
      <c r="II7" s="601"/>
      <c r="IJ7" s="601"/>
      <c r="IK7" s="601"/>
      <c r="IL7" s="601"/>
      <c r="IM7" s="601"/>
      <c r="IN7" s="601"/>
      <c r="IO7" s="601"/>
      <c r="IP7" s="601"/>
      <c r="IQ7" s="601"/>
      <c r="IR7" s="601"/>
      <c r="IS7" s="601"/>
      <c r="IT7" s="601"/>
      <c r="IU7" s="601"/>
      <c r="IV7" s="601"/>
      <c r="IW7" s="601"/>
    </row>
    <row r="8" customFormat="false" ht="12.75" hidden="false" customHeight="false" outlineLevel="0" collapsed="false">
      <c r="A8" s="397"/>
      <c r="B8" s="602"/>
      <c r="C8" s="602"/>
      <c r="D8" s="603" t="n">
        <f aca="false">Debt!B24</f>
        <v>0</v>
      </c>
      <c r="E8" s="603" t="n">
        <f aca="false">Debt!C24</f>
        <v>0</v>
      </c>
      <c r="F8" s="603" t="n">
        <f aca="false">Debt!D24</f>
        <v>0</v>
      </c>
      <c r="G8" s="603" t="n">
        <f aca="false">Debt!E24</f>
        <v>0</v>
      </c>
      <c r="H8" s="603" t="n">
        <f aca="false">Debt!F24</f>
        <v>0</v>
      </c>
      <c r="I8" s="603" t="n">
        <f aca="false">Debt!G24</f>
        <v>0</v>
      </c>
      <c r="J8" s="603" t="n">
        <f aca="false">Debt!H24</f>
        <v>0</v>
      </c>
      <c r="K8" s="603" t="n">
        <f aca="false">Debt!I24</f>
        <v>0</v>
      </c>
      <c r="L8" s="603" t="n">
        <f aca="false">Debt!J24</f>
        <v>0</v>
      </c>
      <c r="M8" s="603" t="n">
        <f aca="false">Debt!K24</f>
        <v>0</v>
      </c>
      <c r="N8" s="603" t="n">
        <f aca="false">Debt!L24</f>
        <v>0</v>
      </c>
      <c r="O8" s="603" t="n">
        <f aca="false">Debt!M24</f>
        <v>0</v>
      </c>
      <c r="P8" s="603" t="n">
        <f aca="false">Debt!N24</f>
        <v>0</v>
      </c>
      <c r="Q8" s="603" t="n">
        <f aca="false">Debt!O24</f>
        <v>0</v>
      </c>
      <c r="R8" s="603" t="n">
        <f aca="false">Debt!P24</f>
        <v>0</v>
      </c>
      <c r="S8" s="603" t="n">
        <f aca="false">Debt!Q24</f>
        <v>0</v>
      </c>
      <c r="T8" s="603" t="n">
        <f aca="false">Debt!R24</f>
        <v>0</v>
      </c>
      <c r="U8" s="603" t="n">
        <f aca="false">Debt!S24</f>
        <v>0</v>
      </c>
      <c r="V8" s="603" t="n">
        <f aca="false">Debt!T24</f>
        <v>0</v>
      </c>
      <c r="W8" s="603" t="n">
        <f aca="false">Debt!U24</f>
        <v>0</v>
      </c>
      <c r="X8" s="603" t="n">
        <f aca="false">Debt!V24</f>
        <v>0</v>
      </c>
      <c r="Y8" s="603" t="n">
        <f aca="false">Debt!W24</f>
        <v>0</v>
      </c>
      <c r="Z8" s="603" t="n">
        <f aca="false">Debt!X24</f>
        <v>0</v>
      </c>
      <c r="AA8" s="603" t="n">
        <f aca="false">Debt!Y24</f>
        <v>0</v>
      </c>
      <c r="AB8" s="603" t="n">
        <f aca="false">Debt!Z24</f>
        <v>0</v>
      </c>
      <c r="AC8" s="603" t="n">
        <f aca="false">Debt!AA24</f>
        <v>0</v>
      </c>
      <c r="AD8" s="603" t="n">
        <f aca="false">Debt!AB24</f>
        <v>0</v>
      </c>
      <c r="AE8" s="603" t="n">
        <f aca="false">Debt!AC24</f>
        <v>0</v>
      </c>
      <c r="AF8" s="603" t="n">
        <f aca="false">Debt!AD24</f>
        <v>0</v>
      </c>
      <c r="AG8" s="603" t="n">
        <f aca="false">Debt!AE24</f>
        <v>0</v>
      </c>
      <c r="AH8" s="603" t="n">
        <f aca="false">Debt!AF24</f>
        <v>0</v>
      </c>
      <c r="AI8" s="601"/>
      <c r="AJ8" s="601"/>
      <c r="AK8" s="601"/>
      <c r="AL8" s="601"/>
      <c r="AM8" s="601"/>
      <c r="AN8" s="601"/>
      <c r="AO8" s="601"/>
      <c r="AP8" s="601"/>
      <c r="AQ8" s="601"/>
      <c r="AR8" s="601"/>
      <c r="AS8" s="601"/>
      <c r="AT8" s="601"/>
      <c r="AU8" s="601"/>
      <c r="AV8" s="601"/>
      <c r="AW8" s="601"/>
      <c r="AX8" s="601"/>
      <c r="AY8" s="601"/>
      <c r="AZ8" s="601"/>
      <c r="BA8" s="601"/>
      <c r="BB8" s="601"/>
      <c r="BC8" s="601"/>
      <c r="BD8" s="601"/>
      <c r="BE8" s="601"/>
      <c r="BF8" s="601"/>
      <c r="BG8" s="601"/>
      <c r="BH8" s="601"/>
      <c r="BI8" s="601"/>
      <c r="BJ8" s="601"/>
      <c r="BK8" s="601"/>
      <c r="BL8" s="601"/>
      <c r="BM8" s="601"/>
      <c r="BN8" s="601"/>
      <c r="BO8" s="601"/>
      <c r="BP8" s="601"/>
      <c r="BQ8" s="601"/>
      <c r="BR8" s="601"/>
      <c r="BS8" s="601"/>
      <c r="BT8" s="601"/>
      <c r="BU8" s="601"/>
      <c r="BV8" s="601"/>
      <c r="BW8" s="601"/>
      <c r="BX8" s="601"/>
      <c r="BY8" s="601"/>
      <c r="BZ8" s="601"/>
      <c r="CA8" s="601"/>
      <c r="CB8" s="601"/>
      <c r="CC8" s="601"/>
      <c r="CD8" s="601"/>
      <c r="CE8" s="601"/>
      <c r="CF8" s="601"/>
      <c r="CG8" s="601"/>
      <c r="CH8" s="601"/>
      <c r="CI8" s="601"/>
      <c r="CJ8" s="601"/>
      <c r="CK8" s="601"/>
      <c r="CL8" s="601"/>
      <c r="CM8" s="601"/>
      <c r="CN8" s="601"/>
      <c r="CO8" s="601"/>
      <c r="CP8" s="601"/>
      <c r="CQ8" s="601"/>
      <c r="CR8" s="601"/>
      <c r="CS8" s="601"/>
      <c r="CT8" s="601"/>
      <c r="CU8" s="601"/>
      <c r="CV8" s="601"/>
      <c r="CW8" s="601"/>
      <c r="CX8" s="601"/>
      <c r="CY8" s="601"/>
      <c r="CZ8" s="601"/>
      <c r="DA8" s="601"/>
      <c r="DB8" s="601"/>
      <c r="DC8" s="601"/>
      <c r="DD8" s="601"/>
      <c r="DE8" s="601"/>
      <c r="DF8" s="601"/>
      <c r="DG8" s="601"/>
      <c r="DH8" s="601"/>
      <c r="DI8" s="601"/>
      <c r="DJ8" s="601"/>
      <c r="DK8" s="601"/>
      <c r="DL8" s="601"/>
      <c r="DM8" s="601"/>
      <c r="DN8" s="601"/>
      <c r="DO8" s="601"/>
      <c r="DP8" s="601"/>
      <c r="DQ8" s="601"/>
      <c r="DR8" s="601"/>
      <c r="DS8" s="601"/>
      <c r="DT8" s="601"/>
      <c r="DU8" s="601"/>
      <c r="DV8" s="601"/>
      <c r="DW8" s="601"/>
      <c r="DX8" s="601"/>
      <c r="DY8" s="601"/>
      <c r="DZ8" s="601"/>
      <c r="EA8" s="601"/>
      <c r="EB8" s="601"/>
      <c r="EC8" s="601"/>
      <c r="ED8" s="601"/>
      <c r="EE8" s="601"/>
      <c r="EF8" s="601"/>
      <c r="EG8" s="601"/>
      <c r="EH8" s="601"/>
      <c r="EI8" s="601"/>
      <c r="EJ8" s="601"/>
      <c r="EK8" s="601"/>
      <c r="EL8" s="601"/>
      <c r="EM8" s="601"/>
      <c r="EN8" s="601"/>
      <c r="EO8" s="601"/>
      <c r="EP8" s="601"/>
      <c r="EQ8" s="601"/>
      <c r="ER8" s="601"/>
      <c r="ES8" s="601"/>
      <c r="ET8" s="601"/>
      <c r="EU8" s="601"/>
      <c r="EV8" s="601"/>
      <c r="EW8" s="601"/>
      <c r="EX8" s="601"/>
      <c r="EY8" s="601"/>
      <c r="EZ8" s="601"/>
      <c r="FA8" s="601"/>
      <c r="FB8" s="601"/>
      <c r="FC8" s="601"/>
      <c r="FD8" s="601"/>
      <c r="FE8" s="601"/>
      <c r="FF8" s="601"/>
      <c r="FG8" s="601"/>
      <c r="FH8" s="601"/>
      <c r="FI8" s="601"/>
      <c r="FJ8" s="601"/>
      <c r="FK8" s="601"/>
      <c r="FL8" s="601"/>
      <c r="FM8" s="601"/>
      <c r="FN8" s="601"/>
      <c r="FO8" s="601"/>
      <c r="FP8" s="601"/>
      <c r="FQ8" s="601"/>
      <c r="FR8" s="601"/>
      <c r="FS8" s="601"/>
      <c r="FT8" s="601"/>
      <c r="FU8" s="601"/>
      <c r="FV8" s="601"/>
      <c r="FW8" s="601"/>
      <c r="FX8" s="601"/>
      <c r="FY8" s="601"/>
      <c r="FZ8" s="601"/>
      <c r="GA8" s="601"/>
      <c r="GB8" s="601"/>
      <c r="GC8" s="601"/>
      <c r="GD8" s="601"/>
      <c r="GE8" s="601"/>
      <c r="GF8" s="601"/>
      <c r="GG8" s="601"/>
      <c r="GH8" s="601"/>
      <c r="GI8" s="601"/>
      <c r="GJ8" s="601"/>
      <c r="GK8" s="601"/>
      <c r="GL8" s="601"/>
      <c r="GM8" s="601"/>
      <c r="GN8" s="601"/>
      <c r="GO8" s="601"/>
      <c r="GP8" s="601"/>
      <c r="GQ8" s="601"/>
      <c r="GR8" s="601"/>
      <c r="GS8" s="601"/>
      <c r="GT8" s="601"/>
      <c r="GU8" s="601"/>
      <c r="GV8" s="601"/>
      <c r="GW8" s="601"/>
      <c r="GX8" s="601"/>
      <c r="GY8" s="601"/>
      <c r="GZ8" s="601"/>
      <c r="HA8" s="601"/>
      <c r="HB8" s="601"/>
      <c r="HC8" s="601"/>
      <c r="HD8" s="601"/>
      <c r="HE8" s="601"/>
      <c r="HF8" s="601"/>
      <c r="HG8" s="601"/>
      <c r="HH8" s="601"/>
      <c r="HI8" s="601"/>
      <c r="HJ8" s="601"/>
      <c r="HK8" s="601"/>
      <c r="HL8" s="601"/>
      <c r="HM8" s="601"/>
      <c r="HN8" s="601"/>
      <c r="HO8" s="601"/>
      <c r="HP8" s="601"/>
      <c r="HQ8" s="601"/>
      <c r="HR8" s="601"/>
      <c r="HS8" s="601"/>
      <c r="HT8" s="601"/>
      <c r="HU8" s="601"/>
      <c r="HV8" s="601"/>
      <c r="HW8" s="601"/>
      <c r="HX8" s="601"/>
      <c r="HY8" s="601"/>
      <c r="HZ8" s="601"/>
      <c r="IA8" s="601"/>
      <c r="IB8" s="601"/>
      <c r="IC8" s="601"/>
      <c r="ID8" s="601"/>
      <c r="IE8" s="601"/>
      <c r="IF8" s="601"/>
      <c r="IG8" s="601"/>
      <c r="IH8" s="601"/>
      <c r="II8" s="601"/>
      <c r="IJ8" s="601"/>
      <c r="IK8" s="601"/>
      <c r="IL8" s="601"/>
      <c r="IM8" s="601"/>
      <c r="IN8" s="601"/>
      <c r="IO8" s="601"/>
      <c r="IP8" s="601"/>
      <c r="IQ8" s="601"/>
      <c r="IR8" s="601"/>
      <c r="IS8" s="601"/>
      <c r="IT8" s="601"/>
      <c r="IU8" s="601"/>
      <c r="IV8" s="601"/>
      <c r="IW8" s="601"/>
    </row>
    <row r="9" customFormat="false" ht="12.75" hidden="false" customHeight="false" outlineLevel="0" collapsed="false">
      <c r="A9" s="604" t="s">
        <v>402</v>
      </c>
      <c r="B9" s="604"/>
      <c r="D9" s="605" t="n">
        <f aca="false">Assumptions!J17</f>
        <v>8.02191780821918</v>
      </c>
      <c r="E9" s="606" t="n">
        <v>12</v>
      </c>
      <c r="F9" s="606" t="n">
        <v>12</v>
      </c>
      <c r="G9" s="606" t="n">
        <v>12</v>
      </c>
      <c r="H9" s="606" t="n">
        <v>12</v>
      </c>
      <c r="I9" s="606" t="n">
        <v>12</v>
      </c>
      <c r="J9" s="606" t="n">
        <v>12</v>
      </c>
      <c r="K9" s="606" t="n">
        <v>12</v>
      </c>
      <c r="L9" s="606" t="n">
        <v>12</v>
      </c>
      <c r="M9" s="606" t="n">
        <v>12</v>
      </c>
      <c r="N9" s="606" t="n">
        <v>12</v>
      </c>
      <c r="O9" s="606" t="n">
        <v>12</v>
      </c>
      <c r="P9" s="606" t="n">
        <v>12</v>
      </c>
      <c r="Q9" s="606" t="n">
        <v>12</v>
      </c>
      <c r="R9" s="606" t="n">
        <v>12</v>
      </c>
      <c r="S9" s="606" t="n">
        <v>12</v>
      </c>
      <c r="T9" s="606" t="n">
        <v>12</v>
      </c>
      <c r="U9" s="606" t="n">
        <v>12</v>
      </c>
      <c r="V9" s="606" t="n">
        <v>12</v>
      </c>
      <c r="W9" s="606" t="n">
        <v>12</v>
      </c>
      <c r="X9" s="606" t="n">
        <v>12</v>
      </c>
      <c r="Y9" s="607" t="n">
        <v>12</v>
      </c>
      <c r="Z9" s="607" t="n">
        <v>12</v>
      </c>
      <c r="AA9" s="607" t="n">
        <v>12</v>
      </c>
      <c r="AB9" s="607" t="n">
        <v>12</v>
      </c>
      <c r="AC9" s="607" t="n">
        <v>12</v>
      </c>
      <c r="AD9" s="607" t="n">
        <v>12</v>
      </c>
      <c r="AE9" s="607" t="n">
        <v>12</v>
      </c>
      <c r="AF9" s="607" t="n">
        <v>12</v>
      </c>
      <c r="AG9" s="607" t="n">
        <v>12</v>
      </c>
      <c r="AH9" s="607" t="n">
        <v>12</v>
      </c>
      <c r="AI9" s="601"/>
      <c r="AJ9" s="601"/>
      <c r="AK9" s="601"/>
      <c r="AL9" s="601"/>
      <c r="AM9" s="601"/>
      <c r="AN9" s="601"/>
      <c r="AO9" s="601"/>
      <c r="AP9" s="601"/>
      <c r="AQ9" s="601"/>
      <c r="AR9" s="601"/>
      <c r="AS9" s="601"/>
      <c r="AT9" s="601"/>
      <c r="AU9" s="601"/>
      <c r="AV9" s="601"/>
      <c r="AW9" s="601"/>
      <c r="AX9" s="601"/>
      <c r="AY9" s="601"/>
      <c r="AZ9" s="601"/>
      <c r="BA9" s="601"/>
      <c r="BB9" s="601"/>
      <c r="BC9" s="601"/>
      <c r="BD9" s="601"/>
      <c r="BE9" s="601"/>
      <c r="BF9" s="601"/>
      <c r="BG9" s="601"/>
      <c r="BH9" s="601"/>
      <c r="BI9" s="601"/>
      <c r="BJ9" s="601"/>
      <c r="BK9" s="601"/>
      <c r="BL9" s="601"/>
      <c r="BM9" s="601"/>
      <c r="BN9" s="601"/>
      <c r="BO9" s="601"/>
      <c r="BP9" s="601"/>
      <c r="BQ9" s="601"/>
      <c r="BR9" s="601"/>
      <c r="BS9" s="601"/>
      <c r="BT9" s="601"/>
      <c r="BU9" s="601"/>
      <c r="BV9" s="601"/>
      <c r="BW9" s="601"/>
      <c r="BX9" s="601"/>
      <c r="BY9" s="601"/>
      <c r="BZ9" s="601"/>
      <c r="CA9" s="601"/>
      <c r="CB9" s="601"/>
      <c r="CC9" s="601"/>
      <c r="CD9" s="601"/>
      <c r="CE9" s="601"/>
      <c r="CF9" s="601"/>
      <c r="CG9" s="601"/>
      <c r="CH9" s="601"/>
      <c r="CI9" s="601"/>
      <c r="CJ9" s="601"/>
      <c r="CK9" s="601"/>
      <c r="CL9" s="601"/>
      <c r="CM9" s="601"/>
      <c r="CN9" s="601"/>
      <c r="CO9" s="601"/>
      <c r="CP9" s="601"/>
      <c r="CQ9" s="601"/>
      <c r="CR9" s="601"/>
      <c r="CS9" s="601"/>
      <c r="CT9" s="601"/>
      <c r="CU9" s="601"/>
      <c r="CV9" s="601"/>
      <c r="CW9" s="601"/>
      <c r="CX9" s="601"/>
      <c r="CY9" s="601"/>
      <c r="CZ9" s="601"/>
      <c r="DA9" s="601"/>
      <c r="DB9" s="601"/>
      <c r="DC9" s="601"/>
      <c r="DD9" s="601"/>
      <c r="DE9" s="601"/>
      <c r="DF9" s="601"/>
      <c r="DG9" s="601"/>
      <c r="DH9" s="601"/>
      <c r="DI9" s="601"/>
      <c r="DJ9" s="601"/>
      <c r="DK9" s="601"/>
      <c r="DL9" s="601"/>
      <c r="DM9" s="601"/>
      <c r="DN9" s="601"/>
      <c r="DO9" s="601"/>
      <c r="DP9" s="601"/>
      <c r="DQ9" s="601"/>
      <c r="DR9" s="601"/>
      <c r="DS9" s="601"/>
      <c r="DT9" s="601"/>
      <c r="DU9" s="601"/>
      <c r="DV9" s="601"/>
      <c r="DW9" s="601"/>
      <c r="DX9" s="601"/>
      <c r="DY9" s="601"/>
      <c r="DZ9" s="601"/>
      <c r="EA9" s="601"/>
      <c r="EB9" s="601"/>
      <c r="EC9" s="601"/>
      <c r="ED9" s="601"/>
      <c r="EE9" s="601"/>
      <c r="EF9" s="601"/>
      <c r="EG9" s="601"/>
      <c r="EH9" s="601"/>
      <c r="EI9" s="601"/>
      <c r="EJ9" s="601"/>
      <c r="EK9" s="601"/>
      <c r="EL9" s="601"/>
      <c r="EM9" s="601"/>
      <c r="EN9" s="601"/>
      <c r="EO9" s="601"/>
      <c r="EP9" s="601"/>
      <c r="EQ9" s="601"/>
      <c r="ER9" s="601"/>
      <c r="ES9" s="601"/>
      <c r="ET9" s="601"/>
      <c r="EU9" s="601"/>
      <c r="EV9" s="601"/>
      <c r="EW9" s="601"/>
      <c r="EX9" s="601"/>
      <c r="EY9" s="601"/>
      <c r="EZ9" s="601"/>
      <c r="FA9" s="601"/>
      <c r="FB9" s="601"/>
      <c r="FC9" s="601"/>
      <c r="FD9" s="601"/>
      <c r="FE9" s="601"/>
      <c r="FF9" s="601"/>
      <c r="FG9" s="601"/>
      <c r="FH9" s="601"/>
      <c r="FI9" s="601"/>
      <c r="FJ9" s="601"/>
      <c r="FK9" s="601"/>
      <c r="FL9" s="601"/>
      <c r="FM9" s="601"/>
      <c r="FN9" s="601"/>
      <c r="FO9" s="601"/>
      <c r="FP9" s="601"/>
      <c r="FQ9" s="601"/>
      <c r="FR9" s="601"/>
      <c r="FS9" s="601"/>
      <c r="FT9" s="601"/>
      <c r="FU9" s="601"/>
      <c r="FV9" s="601"/>
      <c r="FW9" s="601"/>
      <c r="FX9" s="601"/>
      <c r="FY9" s="601"/>
      <c r="FZ9" s="601"/>
      <c r="GA9" s="601"/>
      <c r="GB9" s="601"/>
      <c r="GC9" s="601"/>
      <c r="GD9" s="601"/>
      <c r="GE9" s="601"/>
      <c r="GF9" s="601"/>
      <c r="GG9" s="601"/>
      <c r="GH9" s="601"/>
      <c r="GI9" s="601"/>
      <c r="GJ9" s="601"/>
      <c r="GK9" s="601"/>
      <c r="GL9" s="601"/>
      <c r="GM9" s="601"/>
      <c r="GN9" s="601"/>
      <c r="GO9" s="601"/>
      <c r="GP9" s="601"/>
      <c r="GQ9" s="601"/>
      <c r="GR9" s="601"/>
      <c r="GS9" s="601"/>
      <c r="GT9" s="601"/>
      <c r="GU9" s="601"/>
      <c r="GV9" s="601"/>
      <c r="GW9" s="601"/>
      <c r="GX9" s="601"/>
      <c r="GY9" s="601"/>
      <c r="GZ9" s="601"/>
      <c r="HA9" s="601"/>
      <c r="HB9" s="601"/>
      <c r="HC9" s="601"/>
      <c r="HD9" s="601"/>
      <c r="HE9" s="601"/>
      <c r="HF9" s="601"/>
      <c r="HG9" s="601"/>
      <c r="HH9" s="601"/>
      <c r="HI9" s="601"/>
      <c r="HJ9" s="601"/>
      <c r="HK9" s="601"/>
      <c r="HL9" s="601"/>
      <c r="HM9" s="601"/>
      <c r="HN9" s="601"/>
      <c r="HO9" s="601"/>
      <c r="HP9" s="601"/>
      <c r="HQ9" s="601"/>
      <c r="HR9" s="601"/>
      <c r="HS9" s="601"/>
      <c r="HT9" s="601"/>
      <c r="HU9" s="601"/>
      <c r="HV9" s="601"/>
      <c r="HW9" s="601"/>
      <c r="HX9" s="601"/>
      <c r="HY9" s="601"/>
      <c r="HZ9" s="601"/>
      <c r="IA9" s="601"/>
      <c r="IB9" s="601"/>
      <c r="IC9" s="601"/>
      <c r="ID9" s="601"/>
      <c r="IE9" s="601"/>
      <c r="IF9" s="601"/>
      <c r="IG9" s="601"/>
      <c r="IH9" s="601"/>
      <c r="II9" s="601"/>
      <c r="IJ9" s="601"/>
      <c r="IK9" s="601"/>
      <c r="IL9" s="601"/>
      <c r="IM9" s="601"/>
      <c r="IN9" s="601"/>
      <c r="IO9" s="601"/>
      <c r="IP9" s="601"/>
      <c r="IQ9" s="601"/>
      <c r="IR9" s="601"/>
      <c r="IS9" s="601"/>
      <c r="IT9" s="601"/>
      <c r="IU9" s="601"/>
      <c r="IV9" s="601"/>
      <c r="IW9" s="601"/>
    </row>
    <row r="10" customFormat="false" ht="12.75" hidden="false" customHeight="false" outlineLevel="0" collapsed="false">
      <c r="A10" s="604"/>
      <c r="B10" s="604"/>
      <c r="D10" s="606"/>
      <c r="E10" s="606"/>
      <c r="F10" s="606"/>
      <c r="G10" s="606"/>
      <c r="H10" s="606"/>
      <c r="I10" s="608"/>
      <c r="J10" s="608"/>
      <c r="K10" s="608"/>
      <c r="L10" s="608"/>
      <c r="M10" s="608"/>
      <c r="N10" s="608"/>
      <c r="O10" s="608"/>
      <c r="P10" s="608"/>
      <c r="Q10" s="608"/>
      <c r="R10" s="608"/>
      <c r="S10" s="608"/>
      <c r="T10" s="608"/>
      <c r="U10" s="608"/>
      <c r="V10" s="608"/>
      <c r="W10" s="608"/>
      <c r="X10" s="608"/>
      <c r="Y10" s="608"/>
      <c r="Z10" s="608"/>
      <c r="AA10" s="608"/>
      <c r="AB10" s="608"/>
      <c r="AC10" s="608"/>
      <c r="AD10" s="608"/>
      <c r="AE10" s="608"/>
      <c r="AF10" s="608"/>
      <c r="AG10" s="608"/>
      <c r="AH10" s="608"/>
      <c r="AI10" s="601"/>
      <c r="AJ10" s="601"/>
      <c r="AK10" s="601"/>
      <c r="AL10" s="601"/>
      <c r="AM10" s="601"/>
      <c r="AN10" s="601"/>
      <c r="AO10" s="601"/>
      <c r="AP10" s="601"/>
      <c r="AQ10" s="601"/>
      <c r="AR10" s="601"/>
      <c r="AS10" s="601"/>
      <c r="AT10" s="601"/>
      <c r="AU10" s="601"/>
      <c r="AV10" s="601"/>
      <c r="AW10" s="601"/>
      <c r="AX10" s="601"/>
      <c r="AY10" s="601"/>
      <c r="AZ10" s="601"/>
      <c r="BA10" s="601"/>
      <c r="BB10" s="601"/>
      <c r="BC10" s="601"/>
      <c r="BD10" s="601"/>
      <c r="BE10" s="601"/>
      <c r="BF10" s="601"/>
      <c r="BG10" s="601"/>
      <c r="BH10" s="601"/>
      <c r="BI10" s="601"/>
      <c r="BJ10" s="601"/>
      <c r="BK10" s="601"/>
      <c r="BL10" s="601"/>
      <c r="BM10" s="601"/>
      <c r="BN10" s="601"/>
      <c r="BO10" s="601"/>
      <c r="BP10" s="601"/>
      <c r="BQ10" s="601"/>
      <c r="BR10" s="601"/>
      <c r="BS10" s="601"/>
      <c r="BT10" s="601"/>
      <c r="BU10" s="601"/>
      <c r="BV10" s="601"/>
      <c r="BW10" s="601"/>
      <c r="BX10" s="601"/>
      <c r="BY10" s="601"/>
      <c r="BZ10" s="601"/>
      <c r="CA10" s="601"/>
      <c r="CB10" s="601"/>
      <c r="CC10" s="601"/>
      <c r="CD10" s="601"/>
      <c r="CE10" s="601"/>
      <c r="CF10" s="601"/>
      <c r="CG10" s="601"/>
      <c r="CH10" s="601"/>
      <c r="CI10" s="601"/>
      <c r="CJ10" s="601"/>
      <c r="CK10" s="601"/>
      <c r="CL10" s="601"/>
      <c r="CM10" s="601"/>
      <c r="CN10" s="601"/>
      <c r="CO10" s="601"/>
      <c r="CP10" s="601"/>
      <c r="CQ10" s="601"/>
      <c r="CR10" s="601"/>
      <c r="CS10" s="601"/>
      <c r="CT10" s="601"/>
      <c r="CU10" s="601"/>
      <c r="CV10" s="601"/>
      <c r="CW10" s="601"/>
      <c r="CX10" s="601"/>
      <c r="CY10" s="601"/>
      <c r="CZ10" s="601"/>
      <c r="DA10" s="601"/>
      <c r="DB10" s="601"/>
      <c r="DC10" s="601"/>
      <c r="DD10" s="601"/>
      <c r="DE10" s="601"/>
      <c r="DF10" s="601"/>
      <c r="DG10" s="601"/>
      <c r="DH10" s="601"/>
      <c r="DI10" s="601"/>
      <c r="DJ10" s="601"/>
      <c r="DK10" s="601"/>
      <c r="DL10" s="601"/>
      <c r="DM10" s="601"/>
      <c r="DN10" s="601"/>
      <c r="DO10" s="601"/>
      <c r="DP10" s="601"/>
      <c r="DQ10" s="601"/>
      <c r="DR10" s="601"/>
      <c r="DS10" s="601"/>
      <c r="DT10" s="601"/>
      <c r="DU10" s="601"/>
      <c r="DV10" s="601"/>
      <c r="DW10" s="601"/>
      <c r="DX10" s="601"/>
      <c r="DY10" s="601"/>
      <c r="DZ10" s="601"/>
      <c r="EA10" s="601"/>
      <c r="EB10" s="601"/>
      <c r="EC10" s="601"/>
      <c r="ED10" s="601"/>
      <c r="EE10" s="601"/>
      <c r="EF10" s="601"/>
      <c r="EG10" s="601"/>
      <c r="EH10" s="601"/>
      <c r="EI10" s="601"/>
      <c r="EJ10" s="601"/>
      <c r="EK10" s="601"/>
      <c r="EL10" s="601"/>
      <c r="EM10" s="601"/>
      <c r="EN10" s="601"/>
      <c r="EO10" s="601"/>
      <c r="EP10" s="601"/>
      <c r="EQ10" s="601"/>
      <c r="ER10" s="601"/>
      <c r="ES10" s="601"/>
      <c r="ET10" s="601"/>
      <c r="EU10" s="601"/>
      <c r="EV10" s="601"/>
      <c r="EW10" s="601"/>
      <c r="EX10" s="601"/>
      <c r="EY10" s="601"/>
      <c r="EZ10" s="601"/>
      <c r="FA10" s="601"/>
      <c r="FB10" s="601"/>
      <c r="FC10" s="601"/>
      <c r="FD10" s="601"/>
      <c r="FE10" s="601"/>
      <c r="FF10" s="601"/>
      <c r="FG10" s="601"/>
      <c r="FH10" s="601"/>
      <c r="FI10" s="601"/>
      <c r="FJ10" s="601"/>
      <c r="FK10" s="601"/>
      <c r="FL10" s="601"/>
      <c r="FM10" s="601"/>
      <c r="FN10" s="601"/>
      <c r="FO10" s="601"/>
      <c r="FP10" s="601"/>
      <c r="FQ10" s="601"/>
      <c r="FR10" s="601"/>
      <c r="FS10" s="601"/>
      <c r="FT10" s="601"/>
      <c r="FU10" s="601"/>
      <c r="FV10" s="601"/>
      <c r="FW10" s="601"/>
      <c r="FX10" s="601"/>
      <c r="FY10" s="601"/>
      <c r="FZ10" s="601"/>
      <c r="GA10" s="601"/>
      <c r="GB10" s="601"/>
      <c r="GC10" s="601"/>
      <c r="GD10" s="601"/>
      <c r="GE10" s="601"/>
      <c r="GF10" s="601"/>
      <c r="GG10" s="601"/>
      <c r="GH10" s="601"/>
      <c r="GI10" s="601"/>
      <c r="GJ10" s="601"/>
      <c r="GK10" s="601"/>
      <c r="GL10" s="601"/>
      <c r="GM10" s="601"/>
      <c r="GN10" s="601"/>
      <c r="GO10" s="601"/>
      <c r="GP10" s="601"/>
      <c r="GQ10" s="601"/>
      <c r="GR10" s="601"/>
      <c r="GS10" s="601"/>
      <c r="GT10" s="601"/>
      <c r="GU10" s="601"/>
      <c r="GV10" s="601"/>
      <c r="GW10" s="601"/>
      <c r="GX10" s="601"/>
      <c r="GY10" s="601"/>
      <c r="GZ10" s="601"/>
      <c r="HA10" s="601"/>
      <c r="HB10" s="601"/>
      <c r="HC10" s="601"/>
      <c r="HD10" s="601"/>
      <c r="HE10" s="601"/>
      <c r="HF10" s="601"/>
      <c r="HG10" s="601"/>
      <c r="HH10" s="601"/>
      <c r="HI10" s="601"/>
      <c r="HJ10" s="601"/>
      <c r="HK10" s="601"/>
      <c r="HL10" s="601"/>
      <c r="HM10" s="601"/>
      <c r="HN10" s="601"/>
      <c r="HO10" s="601"/>
      <c r="HP10" s="601"/>
      <c r="HQ10" s="601"/>
      <c r="HR10" s="601"/>
      <c r="HS10" s="601"/>
      <c r="HT10" s="601"/>
      <c r="HU10" s="601"/>
      <c r="HV10" s="601"/>
      <c r="HW10" s="601"/>
      <c r="HX10" s="601"/>
      <c r="HY10" s="601"/>
      <c r="HZ10" s="601"/>
      <c r="IA10" s="601"/>
      <c r="IB10" s="601"/>
      <c r="IC10" s="601"/>
      <c r="ID10" s="601"/>
      <c r="IE10" s="601"/>
      <c r="IF10" s="601"/>
      <c r="IG10" s="601"/>
      <c r="IH10" s="601"/>
      <c r="II10" s="601"/>
      <c r="IJ10" s="601"/>
      <c r="IK10" s="601"/>
      <c r="IL10" s="601"/>
      <c r="IM10" s="601"/>
      <c r="IN10" s="601"/>
      <c r="IO10" s="601"/>
      <c r="IP10" s="601"/>
      <c r="IQ10" s="601"/>
      <c r="IR10" s="601"/>
      <c r="IS10" s="601"/>
      <c r="IT10" s="601"/>
      <c r="IU10" s="601"/>
      <c r="IV10" s="601"/>
      <c r="IW10" s="601"/>
    </row>
    <row r="11" customFormat="false" ht="15.75" hidden="false" customHeight="false" outlineLevel="0" collapsed="false">
      <c r="A11" s="4"/>
    </row>
    <row r="12" customFormat="false" ht="12.75" hidden="false" customHeight="false" outlineLevel="0" collapsed="false">
      <c r="A12" s="609" t="s">
        <v>403</v>
      </c>
      <c r="C12" s="610"/>
      <c r="D12" s="611"/>
      <c r="E12" s="611"/>
      <c r="F12" s="611"/>
      <c r="G12" s="611"/>
      <c r="H12" s="611"/>
      <c r="I12" s="611"/>
      <c r="J12" s="611"/>
      <c r="K12" s="611"/>
      <c r="L12" s="611"/>
      <c r="M12" s="611"/>
      <c r="N12" s="611"/>
      <c r="O12" s="611"/>
      <c r="P12" s="611"/>
      <c r="Q12" s="611"/>
      <c r="R12" s="611"/>
      <c r="S12" s="611"/>
      <c r="T12" s="611"/>
      <c r="U12" s="611"/>
      <c r="V12" s="611"/>
      <c r="W12" s="611"/>
      <c r="X12" s="611"/>
      <c r="Y12" s="611"/>
      <c r="Z12" s="611"/>
      <c r="AA12" s="611"/>
      <c r="AB12" s="611"/>
      <c r="AC12" s="611"/>
      <c r="AD12" s="611"/>
      <c r="AE12" s="611"/>
      <c r="AF12" s="611"/>
      <c r="AG12" s="611"/>
      <c r="AH12" s="611"/>
      <c r="AI12" s="612"/>
      <c r="AJ12" s="612"/>
      <c r="AK12" s="612"/>
      <c r="AL12" s="612"/>
      <c r="AM12" s="612"/>
      <c r="AN12" s="612"/>
      <c r="AO12" s="612"/>
      <c r="AP12" s="612"/>
      <c r="AQ12" s="612"/>
      <c r="AR12" s="612"/>
      <c r="AS12" s="612"/>
      <c r="AT12" s="612"/>
      <c r="AU12" s="612"/>
      <c r="AV12" s="612"/>
      <c r="AW12" s="612"/>
      <c r="AX12" s="612"/>
      <c r="AY12" s="612"/>
      <c r="AZ12" s="612"/>
      <c r="BA12" s="612"/>
      <c r="BB12" s="612"/>
      <c r="BC12" s="612"/>
      <c r="BD12" s="612"/>
      <c r="BE12" s="612"/>
      <c r="BF12" s="612"/>
      <c r="BG12" s="612"/>
      <c r="BH12" s="612"/>
      <c r="BI12" s="612"/>
      <c r="BJ12" s="612"/>
      <c r="BK12" s="612"/>
      <c r="BL12" s="612"/>
      <c r="BM12" s="612"/>
      <c r="BN12" s="612"/>
      <c r="BO12" s="612"/>
      <c r="BP12" s="612"/>
      <c r="BQ12" s="612"/>
      <c r="BR12" s="612"/>
      <c r="BS12" s="612"/>
      <c r="BT12" s="612"/>
      <c r="BU12" s="612"/>
      <c r="BV12" s="612"/>
      <c r="BW12" s="612"/>
      <c r="BX12" s="612"/>
      <c r="BY12" s="612"/>
      <c r="BZ12" s="612"/>
      <c r="CA12" s="612"/>
      <c r="CB12" s="612"/>
      <c r="CC12" s="612"/>
      <c r="CD12" s="612"/>
      <c r="CE12" s="612"/>
      <c r="CF12" s="612"/>
      <c r="CG12" s="612"/>
      <c r="CH12" s="612"/>
      <c r="CI12" s="612"/>
      <c r="CJ12" s="612"/>
      <c r="CK12" s="612"/>
      <c r="CL12" s="612"/>
      <c r="CM12" s="612"/>
      <c r="CN12" s="612"/>
      <c r="CO12" s="612"/>
      <c r="CP12" s="612"/>
      <c r="CQ12" s="612"/>
      <c r="CR12" s="612"/>
      <c r="CS12" s="612"/>
      <c r="CT12" s="612"/>
      <c r="CU12" s="612"/>
      <c r="CV12" s="612"/>
      <c r="CW12" s="612"/>
      <c r="CX12" s="612"/>
      <c r="CY12" s="612"/>
      <c r="CZ12" s="612"/>
      <c r="DA12" s="612"/>
      <c r="DB12" s="612"/>
      <c r="DC12" s="612"/>
      <c r="DD12" s="612"/>
      <c r="DE12" s="612"/>
      <c r="DF12" s="612"/>
      <c r="DG12" s="612"/>
      <c r="DH12" s="612"/>
      <c r="DI12" s="612"/>
      <c r="DJ12" s="612"/>
      <c r="DK12" s="612"/>
      <c r="DL12" s="612"/>
      <c r="DM12" s="612"/>
      <c r="DN12" s="612"/>
      <c r="DO12" s="612"/>
      <c r="DP12" s="612"/>
      <c r="DQ12" s="612"/>
      <c r="DR12" s="612"/>
      <c r="DS12" s="612"/>
      <c r="DT12" s="612"/>
      <c r="DU12" s="612"/>
      <c r="DV12" s="612"/>
      <c r="DW12" s="612"/>
      <c r="DX12" s="612"/>
      <c r="DY12" s="612"/>
      <c r="DZ12" s="612"/>
      <c r="EA12" s="612"/>
      <c r="EB12" s="612"/>
      <c r="EC12" s="612"/>
      <c r="ED12" s="612"/>
      <c r="EE12" s="612"/>
      <c r="EF12" s="612"/>
      <c r="EG12" s="612"/>
      <c r="EH12" s="612"/>
      <c r="EI12" s="612"/>
      <c r="EJ12" s="612"/>
      <c r="EK12" s="612"/>
      <c r="EL12" s="612"/>
      <c r="EM12" s="612"/>
      <c r="EN12" s="612"/>
      <c r="EO12" s="612"/>
      <c r="EP12" s="612"/>
      <c r="EQ12" s="612"/>
      <c r="ER12" s="612"/>
      <c r="ES12" s="612"/>
      <c r="ET12" s="612"/>
      <c r="EU12" s="612"/>
      <c r="EV12" s="612"/>
      <c r="EW12" s="612"/>
      <c r="EX12" s="612"/>
      <c r="EY12" s="612"/>
      <c r="EZ12" s="612"/>
      <c r="FA12" s="612"/>
      <c r="FB12" s="612"/>
      <c r="FC12" s="612"/>
      <c r="FD12" s="612"/>
      <c r="FE12" s="612"/>
      <c r="FF12" s="612"/>
      <c r="FG12" s="612"/>
      <c r="FH12" s="612"/>
      <c r="FI12" s="612"/>
      <c r="FJ12" s="612"/>
      <c r="FK12" s="612"/>
      <c r="FL12" s="612"/>
      <c r="FM12" s="612"/>
      <c r="FN12" s="612"/>
      <c r="FO12" s="612"/>
      <c r="FP12" s="612"/>
      <c r="FQ12" s="612"/>
      <c r="FR12" s="612"/>
      <c r="FS12" s="612"/>
      <c r="FT12" s="612"/>
      <c r="FU12" s="612"/>
      <c r="FV12" s="612"/>
      <c r="FW12" s="612"/>
      <c r="FX12" s="612"/>
      <c r="FY12" s="612"/>
      <c r="FZ12" s="612"/>
      <c r="GA12" s="612"/>
      <c r="GB12" s="612"/>
      <c r="GC12" s="612"/>
      <c r="GD12" s="612"/>
      <c r="GE12" s="612"/>
      <c r="GF12" s="612"/>
      <c r="GG12" s="612"/>
      <c r="GH12" s="612"/>
      <c r="GI12" s="612"/>
      <c r="GJ12" s="612"/>
      <c r="GK12" s="612"/>
      <c r="GL12" s="612"/>
      <c r="GM12" s="612"/>
      <c r="GN12" s="612"/>
      <c r="GO12" s="612"/>
      <c r="GP12" s="612"/>
      <c r="GQ12" s="612"/>
      <c r="GR12" s="612"/>
      <c r="GS12" s="612"/>
      <c r="GT12" s="612"/>
      <c r="GU12" s="612"/>
      <c r="GV12" s="612"/>
      <c r="GW12" s="612"/>
      <c r="GX12" s="612"/>
      <c r="GY12" s="612"/>
      <c r="GZ12" s="612"/>
      <c r="HA12" s="612"/>
      <c r="HB12" s="612"/>
      <c r="HC12" s="612"/>
      <c r="HD12" s="612"/>
      <c r="HE12" s="612"/>
      <c r="HF12" s="612"/>
      <c r="HG12" s="612"/>
      <c r="HH12" s="612"/>
      <c r="HI12" s="612"/>
      <c r="HJ12" s="612"/>
      <c r="HK12" s="612"/>
      <c r="HL12" s="612"/>
      <c r="HM12" s="612"/>
      <c r="HN12" s="612"/>
      <c r="HO12" s="612"/>
      <c r="HP12" s="612"/>
      <c r="HQ12" s="612"/>
      <c r="HR12" s="612"/>
      <c r="HS12" s="612"/>
      <c r="HT12" s="612"/>
      <c r="HU12" s="612"/>
      <c r="HV12" s="612"/>
      <c r="HW12" s="612"/>
      <c r="HX12" s="612"/>
      <c r="HY12" s="612"/>
      <c r="HZ12" s="612"/>
      <c r="IA12" s="612"/>
      <c r="IB12" s="612"/>
      <c r="IC12" s="612"/>
      <c r="ID12" s="612"/>
      <c r="IE12" s="612"/>
      <c r="IF12" s="612"/>
      <c r="IG12" s="612"/>
      <c r="IH12" s="612"/>
      <c r="II12" s="612"/>
      <c r="IJ12" s="612"/>
      <c r="IK12" s="612"/>
      <c r="IL12" s="612"/>
      <c r="IM12" s="612"/>
      <c r="IN12" s="612"/>
      <c r="IO12" s="612"/>
      <c r="IP12" s="612"/>
      <c r="IQ12" s="612"/>
      <c r="IR12" s="612"/>
      <c r="IS12" s="612"/>
      <c r="IT12" s="612"/>
      <c r="IU12" s="612"/>
      <c r="IV12" s="612"/>
      <c r="IW12" s="612"/>
    </row>
    <row r="13" customFormat="false" ht="12.75" hidden="false" customHeight="false" outlineLevel="0" collapsed="false">
      <c r="B13" s="613" t="s">
        <v>404</v>
      </c>
      <c r="D13" s="614"/>
      <c r="E13" s="615"/>
      <c r="F13" s="615"/>
      <c r="G13" s="615"/>
      <c r="H13" s="615"/>
      <c r="I13" s="615"/>
      <c r="J13" s="615"/>
      <c r="K13" s="615"/>
      <c r="L13" s="615"/>
      <c r="M13" s="615"/>
      <c r="N13" s="615"/>
      <c r="O13" s="615"/>
      <c r="P13" s="615"/>
      <c r="Q13" s="615"/>
      <c r="R13" s="615"/>
      <c r="AI13" s="612"/>
      <c r="AJ13" s="612"/>
      <c r="AK13" s="612"/>
      <c r="AL13" s="612"/>
      <c r="AM13" s="612"/>
      <c r="AN13" s="612"/>
      <c r="AO13" s="612"/>
      <c r="AP13" s="612"/>
      <c r="AQ13" s="612"/>
      <c r="AR13" s="612"/>
      <c r="AS13" s="612"/>
      <c r="AT13" s="612"/>
      <c r="AU13" s="612"/>
      <c r="AV13" s="612"/>
      <c r="AW13" s="612"/>
      <c r="AX13" s="612"/>
      <c r="AY13" s="612"/>
      <c r="AZ13" s="612"/>
      <c r="BA13" s="612"/>
      <c r="BB13" s="612"/>
      <c r="BC13" s="612"/>
      <c r="BD13" s="612"/>
      <c r="BE13" s="612"/>
      <c r="BF13" s="612"/>
      <c r="BG13" s="612"/>
      <c r="BH13" s="612"/>
      <c r="BI13" s="612"/>
      <c r="BJ13" s="612"/>
      <c r="BK13" s="612"/>
      <c r="BL13" s="612"/>
      <c r="BM13" s="612"/>
      <c r="BN13" s="612"/>
      <c r="BO13" s="612"/>
      <c r="BP13" s="612"/>
      <c r="BQ13" s="612"/>
      <c r="BR13" s="612"/>
      <c r="BS13" s="612"/>
      <c r="BT13" s="612"/>
      <c r="BU13" s="612"/>
      <c r="BV13" s="612"/>
      <c r="BW13" s="612"/>
      <c r="BX13" s="612"/>
      <c r="BY13" s="612"/>
      <c r="BZ13" s="612"/>
      <c r="CA13" s="612"/>
      <c r="CB13" s="612"/>
      <c r="CC13" s="612"/>
      <c r="CD13" s="612"/>
      <c r="CE13" s="612"/>
      <c r="CF13" s="612"/>
      <c r="CG13" s="612"/>
      <c r="CH13" s="612"/>
      <c r="CI13" s="612"/>
      <c r="CJ13" s="612"/>
      <c r="CK13" s="612"/>
      <c r="CL13" s="612"/>
      <c r="CM13" s="612"/>
      <c r="CN13" s="612"/>
      <c r="CO13" s="612"/>
      <c r="CP13" s="612"/>
      <c r="CQ13" s="612"/>
      <c r="CR13" s="612"/>
      <c r="CS13" s="612"/>
      <c r="CT13" s="612"/>
      <c r="CU13" s="612"/>
      <c r="CV13" s="612"/>
      <c r="CW13" s="612"/>
      <c r="CX13" s="612"/>
      <c r="CY13" s="612"/>
      <c r="CZ13" s="612"/>
      <c r="DA13" s="612"/>
      <c r="DB13" s="612"/>
      <c r="DC13" s="612"/>
      <c r="DD13" s="612"/>
      <c r="DE13" s="612"/>
      <c r="DF13" s="612"/>
      <c r="DG13" s="612"/>
      <c r="DH13" s="612"/>
      <c r="DI13" s="612"/>
      <c r="DJ13" s="612"/>
      <c r="DK13" s="612"/>
      <c r="DL13" s="612"/>
      <c r="DM13" s="612"/>
      <c r="DN13" s="612"/>
      <c r="DO13" s="612"/>
      <c r="DP13" s="612"/>
      <c r="DQ13" s="612"/>
      <c r="DR13" s="612"/>
      <c r="DS13" s="612"/>
      <c r="DT13" s="612"/>
      <c r="DU13" s="612"/>
      <c r="DV13" s="612"/>
      <c r="DW13" s="612"/>
      <c r="DX13" s="612"/>
      <c r="DY13" s="612"/>
      <c r="DZ13" s="612"/>
      <c r="EA13" s="612"/>
      <c r="EB13" s="612"/>
      <c r="EC13" s="612"/>
      <c r="ED13" s="612"/>
      <c r="EE13" s="612"/>
      <c r="EF13" s="612"/>
      <c r="EG13" s="612"/>
      <c r="EH13" s="612"/>
      <c r="EI13" s="612"/>
      <c r="EJ13" s="612"/>
      <c r="EK13" s="612"/>
      <c r="EL13" s="612"/>
      <c r="EM13" s="612"/>
      <c r="EN13" s="612"/>
      <c r="EO13" s="612"/>
      <c r="EP13" s="612"/>
      <c r="EQ13" s="612"/>
      <c r="ER13" s="612"/>
      <c r="ES13" s="612"/>
      <c r="ET13" s="612"/>
      <c r="EU13" s="612"/>
      <c r="EV13" s="612"/>
      <c r="EW13" s="612"/>
      <c r="EX13" s="612"/>
      <c r="EY13" s="612"/>
      <c r="EZ13" s="612"/>
      <c r="FA13" s="612"/>
      <c r="FB13" s="612"/>
      <c r="FC13" s="612"/>
      <c r="FD13" s="612"/>
      <c r="FE13" s="612"/>
      <c r="FF13" s="612"/>
      <c r="FG13" s="612"/>
      <c r="FH13" s="612"/>
      <c r="FI13" s="612"/>
      <c r="FJ13" s="612"/>
      <c r="FK13" s="612"/>
      <c r="FL13" s="612"/>
      <c r="FM13" s="612"/>
      <c r="FN13" s="612"/>
      <c r="FO13" s="612"/>
      <c r="FP13" s="612"/>
      <c r="FQ13" s="612"/>
      <c r="FR13" s="612"/>
      <c r="FS13" s="612"/>
      <c r="FT13" s="612"/>
      <c r="FU13" s="612"/>
      <c r="FV13" s="612"/>
      <c r="FW13" s="612"/>
      <c r="FX13" s="612"/>
      <c r="FY13" s="612"/>
      <c r="FZ13" s="612"/>
      <c r="GA13" s="612"/>
      <c r="GB13" s="612"/>
      <c r="GC13" s="612"/>
      <c r="GD13" s="612"/>
      <c r="GE13" s="612"/>
      <c r="GF13" s="612"/>
      <c r="GG13" s="612"/>
      <c r="GH13" s="612"/>
      <c r="GI13" s="612"/>
      <c r="GJ13" s="612"/>
      <c r="GK13" s="612"/>
      <c r="GL13" s="612"/>
      <c r="GM13" s="612"/>
      <c r="GN13" s="612"/>
      <c r="GO13" s="612"/>
      <c r="GP13" s="612"/>
      <c r="GQ13" s="612"/>
      <c r="GR13" s="612"/>
      <c r="GS13" s="612"/>
      <c r="GT13" s="612"/>
      <c r="GU13" s="612"/>
      <c r="GV13" s="612"/>
      <c r="GW13" s="612"/>
      <c r="GX13" s="612"/>
      <c r="GY13" s="612"/>
      <c r="GZ13" s="612"/>
      <c r="HA13" s="612"/>
      <c r="HB13" s="612"/>
      <c r="HC13" s="612"/>
      <c r="HD13" s="612"/>
      <c r="HE13" s="612"/>
      <c r="HF13" s="612"/>
      <c r="HG13" s="612"/>
      <c r="HH13" s="612"/>
      <c r="HI13" s="612"/>
      <c r="HJ13" s="612"/>
      <c r="HK13" s="612"/>
      <c r="HL13" s="612"/>
      <c r="HM13" s="612"/>
      <c r="HN13" s="612"/>
      <c r="HO13" s="612"/>
      <c r="HP13" s="612"/>
      <c r="HQ13" s="612"/>
      <c r="HR13" s="612"/>
      <c r="HS13" s="612"/>
      <c r="HT13" s="612"/>
      <c r="HU13" s="612"/>
      <c r="HV13" s="612"/>
      <c r="HW13" s="612"/>
      <c r="HX13" s="612"/>
      <c r="HY13" s="612"/>
      <c r="HZ13" s="612"/>
      <c r="IA13" s="612"/>
      <c r="IB13" s="612"/>
      <c r="IC13" s="612"/>
      <c r="ID13" s="612"/>
      <c r="IE13" s="612"/>
      <c r="IF13" s="612"/>
      <c r="IG13" s="612"/>
      <c r="IH13" s="612"/>
      <c r="II13" s="612"/>
      <c r="IJ13" s="612"/>
      <c r="IK13" s="612"/>
      <c r="IL13" s="612"/>
      <c r="IM13" s="612"/>
      <c r="IN13" s="612"/>
      <c r="IO13" s="612"/>
      <c r="IP13" s="612"/>
      <c r="IQ13" s="612"/>
      <c r="IR13" s="612"/>
      <c r="IS13" s="612"/>
      <c r="IT13" s="612"/>
      <c r="IU13" s="612"/>
      <c r="IV13" s="612"/>
      <c r="IW13" s="612"/>
    </row>
    <row r="14" customFormat="false" ht="12.75" hidden="false" customHeight="false" outlineLevel="0" collapsed="false">
      <c r="A14" s="616" t="s">
        <v>405</v>
      </c>
      <c r="B14" s="617" t="n">
        <f aca="false">Assumptions!$O$46</f>
        <v>15</v>
      </c>
      <c r="C14" s="618"/>
      <c r="D14" s="619" t="n">
        <v>0.05</v>
      </c>
      <c r="E14" s="619" t="n">
        <v>0.095</v>
      </c>
      <c r="F14" s="619" t="n">
        <v>0.0855</v>
      </c>
      <c r="G14" s="619" t="n">
        <v>0.077</v>
      </c>
      <c r="H14" s="619" t="n">
        <v>0.0693</v>
      </c>
      <c r="I14" s="619" t="n">
        <v>0.0623</v>
      </c>
      <c r="J14" s="619" t="n">
        <v>0.059</v>
      </c>
      <c r="K14" s="619" t="n">
        <v>0.0591</v>
      </c>
      <c r="L14" s="619" t="n">
        <v>0.059</v>
      </c>
      <c r="M14" s="619" t="n">
        <v>0.0591</v>
      </c>
      <c r="N14" s="619" t="n">
        <v>0.059</v>
      </c>
      <c r="O14" s="619" t="n">
        <v>0.0591</v>
      </c>
      <c r="P14" s="619" t="n">
        <v>0.059</v>
      </c>
      <c r="Q14" s="619" t="n">
        <v>0.0591</v>
      </c>
      <c r="R14" s="619" t="n">
        <v>0.059</v>
      </c>
      <c r="S14" s="619" t="n">
        <v>0.0295</v>
      </c>
      <c r="T14" s="619" t="n">
        <v>0</v>
      </c>
      <c r="U14" s="619" t="n">
        <v>0</v>
      </c>
      <c r="V14" s="619" t="n">
        <v>0</v>
      </c>
      <c r="W14" s="619" t="n">
        <v>0</v>
      </c>
      <c r="X14" s="619" t="n">
        <v>0</v>
      </c>
      <c r="Y14" s="619" t="n">
        <v>0</v>
      </c>
      <c r="Z14" s="619" t="n">
        <v>0</v>
      </c>
      <c r="AA14" s="619" t="n">
        <v>0</v>
      </c>
      <c r="AB14" s="619" t="n">
        <v>0</v>
      </c>
      <c r="AC14" s="619" t="n">
        <v>0</v>
      </c>
      <c r="AD14" s="619" t="n">
        <v>0</v>
      </c>
      <c r="AE14" s="619" t="n">
        <v>0</v>
      </c>
      <c r="AF14" s="619" t="n">
        <v>0</v>
      </c>
      <c r="AG14" s="619" t="n">
        <v>0</v>
      </c>
      <c r="AH14" s="619" t="n">
        <v>0</v>
      </c>
      <c r="AI14" s="612"/>
      <c r="AJ14" s="612"/>
      <c r="AK14" s="612"/>
      <c r="AL14" s="612"/>
      <c r="AM14" s="612"/>
      <c r="AN14" s="612"/>
      <c r="AO14" s="612"/>
      <c r="AP14" s="612"/>
      <c r="AQ14" s="612"/>
      <c r="AR14" s="612"/>
      <c r="AS14" s="612"/>
      <c r="AT14" s="612"/>
      <c r="AU14" s="612"/>
      <c r="AV14" s="612"/>
      <c r="AW14" s="612"/>
      <c r="AX14" s="612"/>
      <c r="AY14" s="612"/>
      <c r="AZ14" s="612"/>
      <c r="BA14" s="612"/>
      <c r="BB14" s="612"/>
      <c r="BC14" s="612"/>
      <c r="BD14" s="612"/>
      <c r="BE14" s="612"/>
      <c r="BF14" s="612"/>
      <c r="BG14" s="612"/>
      <c r="BH14" s="612"/>
      <c r="BI14" s="612"/>
      <c r="BJ14" s="612"/>
      <c r="BK14" s="612"/>
      <c r="BL14" s="612"/>
      <c r="BM14" s="612"/>
      <c r="BN14" s="612"/>
      <c r="BO14" s="612"/>
      <c r="BP14" s="612"/>
      <c r="BQ14" s="612"/>
      <c r="BR14" s="612"/>
      <c r="BS14" s="612"/>
      <c r="BT14" s="612"/>
      <c r="BU14" s="612"/>
      <c r="BV14" s="612"/>
      <c r="BW14" s="612"/>
      <c r="BX14" s="612"/>
      <c r="BY14" s="612"/>
      <c r="BZ14" s="612"/>
      <c r="CA14" s="612"/>
      <c r="CB14" s="612"/>
      <c r="CC14" s="612"/>
      <c r="CD14" s="612"/>
      <c r="CE14" s="612"/>
      <c r="CF14" s="612"/>
      <c r="CG14" s="612"/>
      <c r="CH14" s="612"/>
      <c r="CI14" s="612"/>
      <c r="CJ14" s="612"/>
      <c r="CK14" s="612"/>
      <c r="CL14" s="612"/>
      <c r="CM14" s="612"/>
      <c r="CN14" s="612"/>
      <c r="CO14" s="612"/>
      <c r="CP14" s="612"/>
      <c r="CQ14" s="612"/>
      <c r="CR14" s="612"/>
      <c r="CS14" s="612"/>
      <c r="CT14" s="612"/>
      <c r="CU14" s="612"/>
      <c r="CV14" s="612"/>
      <c r="CW14" s="612"/>
      <c r="CX14" s="612"/>
      <c r="CY14" s="612"/>
      <c r="CZ14" s="612"/>
      <c r="DA14" s="612"/>
      <c r="DB14" s="612"/>
      <c r="DC14" s="612"/>
      <c r="DD14" s="612"/>
      <c r="DE14" s="612"/>
      <c r="DF14" s="612"/>
      <c r="DG14" s="612"/>
      <c r="DH14" s="612"/>
      <c r="DI14" s="612"/>
      <c r="DJ14" s="612"/>
      <c r="DK14" s="612"/>
      <c r="DL14" s="612"/>
      <c r="DM14" s="612"/>
      <c r="DN14" s="612"/>
      <c r="DO14" s="612"/>
      <c r="DP14" s="612"/>
      <c r="DQ14" s="612"/>
      <c r="DR14" s="612"/>
      <c r="DS14" s="612"/>
      <c r="DT14" s="612"/>
      <c r="DU14" s="612"/>
      <c r="DV14" s="612"/>
      <c r="DW14" s="612"/>
      <c r="DX14" s="612"/>
      <c r="DY14" s="612"/>
      <c r="DZ14" s="612"/>
      <c r="EA14" s="612"/>
      <c r="EB14" s="612"/>
      <c r="EC14" s="612"/>
      <c r="ED14" s="612"/>
      <c r="EE14" s="612"/>
      <c r="EF14" s="612"/>
      <c r="EG14" s="612"/>
      <c r="EH14" s="612"/>
      <c r="EI14" s="612"/>
      <c r="EJ14" s="612"/>
      <c r="EK14" s="612"/>
      <c r="EL14" s="612"/>
      <c r="EM14" s="612"/>
      <c r="EN14" s="612"/>
      <c r="EO14" s="612"/>
      <c r="EP14" s="612"/>
      <c r="EQ14" s="612"/>
      <c r="ER14" s="612"/>
      <c r="ES14" s="612"/>
      <c r="ET14" s="612"/>
      <c r="EU14" s="612"/>
      <c r="EV14" s="612"/>
      <c r="EW14" s="612"/>
      <c r="EX14" s="612"/>
      <c r="EY14" s="612"/>
      <c r="EZ14" s="612"/>
      <c r="FA14" s="612"/>
      <c r="FB14" s="612"/>
      <c r="FC14" s="612"/>
      <c r="FD14" s="612"/>
      <c r="FE14" s="612"/>
      <c r="FF14" s="612"/>
      <c r="FG14" s="612"/>
      <c r="FH14" s="612"/>
      <c r="FI14" s="612"/>
      <c r="FJ14" s="612"/>
      <c r="FK14" s="612"/>
      <c r="FL14" s="612"/>
      <c r="FM14" s="612"/>
      <c r="FN14" s="612"/>
      <c r="FO14" s="612"/>
      <c r="FP14" s="612"/>
      <c r="FQ14" s="612"/>
      <c r="FR14" s="612"/>
      <c r="FS14" s="612"/>
      <c r="FT14" s="612"/>
      <c r="FU14" s="612"/>
      <c r="FV14" s="612"/>
      <c r="FW14" s="612"/>
      <c r="FX14" s="612"/>
      <c r="FY14" s="612"/>
      <c r="FZ14" s="612"/>
      <c r="GA14" s="612"/>
      <c r="GB14" s="612"/>
      <c r="GC14" s="612"/>
      <c r="GD14" s="612"/>
      <c r="GE14" s="612"/>
      <c r="GF14" s="612"/>
      <c r="GG14" s="612"/>
      <c r="GH14" s="612"/>
      <c r="GI14" s="612"/>
      <c r="GJ14" s="612"/>
      <c r="GK14" s="612"/>
      <c r="GL14" s="612"/>
      <c r="GM14" s="612"/>
      <c r="GN14" s="612"/>
      <c r="GO14" s="612"/>
      <c r="GP14" s="612"/>
      <c r="GQ14" s="612"/>
      <c r="GR14" s="612"/>
      <c r="GS14" s="612"/>
      <c r="GT14" s="612"/>
      <c r="GU14" s="612"/>
      <c r="GV14" s="612"/>
      <c r="GW14" s="612"/>
      <c r="GX14" s="612"/>
      <c r="GY14" s="612"/>
      <c r="GZ14" s="612"/>
      <c r="HA14" s="612"/>
      <c r="HB14" s="612"/>
      <c r="HC14" s="612"/>
      <c r="HD14" s="612"/>
      <c r="HE14" s="612"/>
      <c r="HF14" s="612"/>
      <c r="HG14" s="612"/>
      <c r="HH14" s="612"/>
      <c r="HI14" s="612"/>
      <c r="HJ14" s="612"/>
      <c r="HK14" s="612"/>
      <c r="HL14" s="612"/>
      <c r="HM14" s="612"/>
      <c r="HN14" s="612"/>
      <c r="HO14" s="612"/>
      <c r="HP14" s="612"/>
      <c r="HQ14" s="612"/>
      <c r="HR14" s="612"/>
      <c r="HS14" s="612"/>
      <c r="HT14" s="612"/>
      <c r="HU14" s="612"/>
      <c r="HV14" s="612"/>
      <c r="HW14" s="612"/>
      <c r="HX14" s="612"/>
      <c r="HY14" s="612"/>
      <c r="HZ14" s="612"/>
      <c r="IA14" s="612"/>
      <c r="IB14" s="612"/>
      <c r="IC14" s="612"/>
      <c r="ID14" s="612"/>
      <c r="IE14" s="612"/>
      <c r="IF14" s="612"/>
      <c r="IG14" s="612"/>
      <c r="IH14" s="612"/>
      <c r="II14" s="612"/>
      <c r="IJ14" s="612"/>
      <c r="IK14" s="612"/>
      <c r="IL14" s="612"/>
      <c r="IM14" s="612"/>
      <c r="IN14" s="612"/>
      <c r="IO14" s="612"/>
      <c r="IP14" s="612"/>
      <c r="IQ14" s="612"/>
      <c r="IR14" s="612"/>
      <c r="IS14" s="612"/>
      <c r="IT14" s="612"/>
      <c r="IU14" s="612"/>
      <c r="IV14" s="612"/>
      <c r="IW14" s="612"/>
    </row>
    <row r="15" customFormat="false" ht="12.75" hidden="false" customHeight="false" outlineLevel="0" collapsed="false">
      <c r="A15" s="620" t="s">
        <v>406</v>
      </c>
      <c r="B15" s="621" t="n">
        <f aca="false">Assumptions!$O$47</f>
        <v>20</v>
      </c>
      <c r="C15" s="622"/>
      <c r="D15" s="614" t="n">
        <f aca="false">1/Assumptions!$O$47*D9/12</f>
        <v>0.0334246575342466</v>
      </c>
      <c r="E15" s="614" t="n">
        <f aca="false">IF(E6=Assumptions!$O$47,1/Assumptions!$O$47-Depreciation!$D$15,IF(E6&lt;Assumptions!$O$47,1/Assumptions!$O$47,0))</f>
        <v>0.05</v>
      </c>
      <c r="F15" s="614" t="n">
        <f aca="false">IF(F6=Assumptions!$O$47,1/Assumptions!$O$47-Depreciation!$D$15,IF(F6&lt;Assumptions!$O$47,1/Assumptions!$O$47,0))</f>
        <v>0.05</v>
      </c>
      <c r="G15" s="614" t="n">
        <f aca="false">IF(G6=Assumptions!$O$47,1/Assumptions!$O$47-Depreciation!$D$15,IF(G6&lt;Assumptions!$O$47,1/Assumptions!$O$47,0))</f>
        <v>0.05</v>
      </c>
      <c r="H15" s="614" t="n">
        <f aca="false">IF(H6=Assumptions!$O$47,1/Assumptions!$O$47-Depreciation!$D$15,IF(H6&lt;Assumptions!$O$47,1/Assumptions!$O$47,0))</f>
        <v>0.05</v>
      </c>
      <c r="I15" s="614" t="n">
        <f aca="false">IF(I6=Assumptions!$O$47,1/Assumptions!$O$47-Depreciation!$D$15,IF(I6&lt;Assumptions!$O$47,1/Assumptions!$O$47,0))</f>
        <v>0.05</v>
      </c>
      <c r="J15" s="614" t="n">
        <f aca="false">IF(J6=Assumptions!$O$47,1/Assumptions!$O$47-Depreciation!$D$15,IF(J6&lt;Assumptions!$O$47,1/Assumptions!$O$47,0))</f>
        <v>0.05</v>
      </c>
      <c r="K15" s="614" t="n">
        <f aca="false">IF(K6=Assumptions!$O$47,1/Assumptions!$O$47-Depreciation!$D$15,IF(K6&lt;Assumptions!$O$47,1/Assumptions!$O$47,0))</f>
        <v>0.05</v>
      </c>
      <c r="L15" s="614" t="n">
        <f aca="false">IF(L6=Assumptions!$O$47,1/Assumptions!$O$47-Depreciation!$D$15,IF(L6&lt;Assumptions!$O$47,1/Assumptions!$O$47,0))</f>
        <v>0.05</v>
      </c>
      <c r="M15" s="614" t="n">
        <f aca="false">IF(M6=Assumptions!$O$47,1/Assumptions!$O$47-Depreciation!$D$15,IF(M6&lt;Assumptions!$O$47,1/Assumptions!$O$47,0))</f>
        <v>0.05</v>
      </c>
      <c r="N15" s="614" t="n">
        <f aca="false">IF(N6=Assumptions!$O$47,1/Assumptions!$O$47-Depreciation!$D$15,IF(N6&lt;Assumptions!$O$47,1/Assumptions!$O$47,0))</f>
        <v>0.05</v>
      </c>
      <c r="O15" s="614" t="n">
        <f aca="false">IF(O6=Assumptions!$O$47,1/Assumptions!$O$47-Depreciation!$D$15,IF(O6&lt;Assumptions!$O$47,1/Assumptions!$O$47,0))</f>
        <v>0.05</v>
      </c>
      <c r="P15" s="614" t="n">
        <f aca="false">IF(P6=Assumptions!$O$47,1/Assumptions!$O$47-Depreciation!$D$15,IF(P6&lt;Assumptions!$O$47,1/Assumptions!$O$47,0))</f>
        <v>0.05</v>
      </c>
      <c r="Q15" s="614" t="n">
        <f aca="false">IF(Q6=Assumptions!$O$47,1/Assumptions!$O$47-Depreciation!$D$15,IF(Q6&lt;Assumptions!$O$47,1/Assumptions!$O$47,0))</f>
        <v>0.05</v>
      </c>
      <c r="R15" s="614" t="n">
        <f aca="false">IF(R6=Assumptions!$O$47,1/Assumptions!$O$47-Depreciation!$D$15,IF(R6&lt;Assumptions!$O$47,1/Assumptions!$O$47,0))</f>
        <v>0.05</v>
      </c>
      <c r="S15" s="614" t="n">
        <f aca="false">IF(S6=Assumptions!$O$47,1/Assumptions!$O$47-Depreciation!$D$15,IF(S6&lt;Assumptions!$O$47,1/Assumptions!$O$47,0))</f>
        <v>0.05</v>
      </c>
      <c r="T15" s="614" t="n">
        <f aca="false">IF(T6=Assumptions!$O$47,1/Assumptions!$O$47-Depreciation!$D$15,IF(T6&lt;Assumptions!$O$47,1/Assumptions!$O$47,0))</f>
        <v>0.05</v>
      </c>
      <c r="U15" s="614" t="n">
        <f aca="false">IF(U6=Assumptions!$O$47,1/Assumptions!$O$47-Depreciation!$D$15,IF(U6&lt;Assumptions!$O$47,1/Assumptions!$O$47,0))</f>
        <v>0.05</v>
      </c>
      <c r="V15" s="614" t="n">
        <f aca="false">IF(V6=Assumptions!$O$47,1/Assumptions!$O$47-Depreciation!$D$15,IF(V6&lt;Assumptions!$O$47,1/Assumptions!$O$47,0))</f>
        <v>0.05</v>
      </c>
      <c r="W15" s="614" t="n">
        <f aca="false">IF(W6=Assumptions!$O$47,1/Assumptions!$O$47-Depreciation!$D$15,IF(W6&lt;Assumptions!$O$47,1/Assumptions!$O$47,0))</f>
        <v>0.05</v>
      </c>
      <c r="X15" s="614" t="n">
        <f aca="false">IF(X6=Assumptions!$O$47,1/Assumptions!$O$47-Depreciation!$D$15,IF(X6&lt;Assumptions!$O$47,1/Assumptions!$O$47,0))</f>
        <v>0</v>
      </c>
      <c r="Y15" s="614" t="n">
        <f aca="false">IF(Y6=Assumptions!$O$47,1/Assumptions!$O$47-Depreciation!$D$15,IF(Y6&lt;Assumptions!$O$47,1/Assumptions!$O$47,0))</f>
        <v>0</v>
      </c>
      <c r="Z15" s="614" t="n">
        <f aca="false">IF(Z6=Assumptions!$O$47,1/Assumptions!$O$47-Depreciation!$D$15,IF(Z6&lt;Assumptions!$O$47,1/Assumptions!$O$47,0))</f>
        <v>0</v>
      </c>
      <c r="AA15" s="614" t="n">
        <f aca="false">IF(AA6=Assumptions!$O$47,1/Assumptions!$O$47-Depreciation!$D$15,IF(AA6&lt;Assumptions!$O$47,1/Assumptions!$O$47,0))</f>
        <v>0</v>
      </c>
      <c r="AB15" s="614" t="n">
        <f aca="false">IF(AB6=Assumptions!$O$47,1/Assumptions!$O$47-Depreciation!$D$15,IF(AB6&lt;Assumptions!$O$47,1/Assumptions!$O$47,0))</f>
        <v>0</v>
      </c>
      <c r="AC15" s="614" t="n">
        <f aca="false">IF(AC6=Assumptions!$O$47,1/Assumptions!$O$47-Depreciation!$D$15,IF(AC6&lt;Assumptions!$O$47,1/Assumptions!$O$47,0))</f>
        <v>0</v>
      </c>
      <c r="AD15" s="614" t="n">
        <f aca="false">IF(AD6=Assumptions!$O$47,1/Assumptions!$O$47-Depreciation!$D$15,IF(AD6&lt;Assumptions!$O$47,1/Assumptions!$O$47,0))</f>
        <v>0</v>
      </c>
      <c r="AE15" s="614" t="n">
        <f aca="false">IF(AE6=Assumptions!$O$47,1/Assumptions!$O$47-Depreciation!$D$15,IF(AE6&lt;Assumptions!$O$47,1/Assumptions!$O$47,0))</f>
        <v>0</v>
      </c>
      <c r="AF15" s="614" t="n">
        <f aca="false">IF(AF6=Assumptions!$O$47,1/Assumptions!$O$47-Depreciation!$D$15,IF(AF6&lt;Assumptions!$O$47,1/Assumptions!$O$47,0))</f>
        <v>0</v>
      </c>
      <c r="AG15" s="614" t="n">
        <f aca="false">IF(AG6=Assumptions!$O$47,1/Assumptions!$O$47-Depreciation!$D$15,IF(AG6&lt;Assumptions!$O$47,1/Assumptions!$O$47,0))</f>
        <v>0</v>
      </c>
      <c r="AH15" s="614" t="n">
        <f aca="false">IF(AH6=Assumptions!$O$47,1/Assumptions!$O$47-Depreciation!$D$15,IF(AH6&lt;Assumptions!$O$47,1/Assumptions!$O$47,0))</f>
        <v>0</v>
      </c>
      <c r="AI15" s="623"/>
      <c r="AJ15" s="623"/>
      <c r="AK15" s="623"/>
      <c r="AL15" s="623"/>
      <c r="AM15" s="623"/>
      <c r="AN15" s="623"/>
      <c r="AO15" s="623"/>
      <c r="AP15" s="623"/>
      <c r="AQ15" s="623"/>
      <c r="AR15" s="623"/>
      <c r="AS15" s="623"/>
      <c r="AT15" s="623"/>
      <c r="AU15" s="623"/>
      <c r="AV15" s="623"/>
      <c r="AW15" s="623"/>
      <c r="AX15" s="623"/>
      <c r="AY15" s="623"/>
      <c r="AZ15" s="623"/>
      <c r="BA15" s="623"/>
      <c r="BB15" s="623"/>
      <c r="BC15" s="623"/>
      <c r="BD15" s="623"/>
      <c r="BE15" s="623"/>
      <c r="BF15" s="623"/>
      <c r="BG15" s="623"/>
      <c r="BH15" s="623"/>
      <c r="BI15" s="623"/>
      <c r="BJ15" s="623"/>
      <c r="BK15" s="623"/>
      <c r="BL15" s="623"/>
      <c r="BM15" s="623"/>
      <c r="BN15" s="623"/>
      <c r="BO15" s="623"/>
      <c r="BP15" s="623"/>
      <c r="BQ15" s="623"/>
      <c r="BR15" s="623"/>
      <c r="BS15" s="623"/>
      <c r="BT15" s="623"/>
      <c r="BU15" s="623"/>
      <c r="BV15" s="623"/>
      <c r="BW15" s="623"/>
      <c r="BX15" s="623"/>
      <c r="BY15" s="623"/>
      <c r="BZ15" s="623"/>
      <c r="CA15" s="623"/>
      <c r="CB15" s="623"/>
      <c r="CC15" s="623"/>
      <c r="CD15" s="623"/>
      <c r="CE15" s="623"/>
      <c r="CF15" s="623"/>
      <c r="CG15" s="623"/>
      <c r="CH15" s="623"/>
      <c r="CI15" s="623"/>
      <c r="CJ15" s="623"/>
      <c r="CK15" s="623"/>
      <c r="CL15" s="623"/>
      <c r="CM15" s="623"/>
      <c r="CN15" s="623"/>
      <c r="CO15" s="623"/>
      <c r="CP15" s="623"/>
      <c r="CQ15" s="623"/>
      <c r="CR15" s="623"/>
      <c r="CS15" s="623"/>
      <c r="CT15" s="623"/>
      <c r="CU15" s="623"/>
      <c r="CV15" s="623"/>
      <c r="CW15" s="623"/>
      <c r="CX15" s="623"/>
      <c r="CY15" s="623"/>
      <c r="CZ15" s="623"/>
      <c r="DA15" s="623"/>
      <c r="DB15" s="623"/>
      <c r="DC15" s="623"/>
      <c r="DD15" s="623"/>
      <c r="DE15" s="623"/>
      <c r="DF15" s="623"/>
      <c r="DG15" s="623"/>
      <c r="DH15" s="623"/>
      <c r="DI15" s="623"/>
      <c r="DJ15" s="623"/>
      <c r="DK15" s="623"/>
      <c r="DL15" s="623"/>
      <c r="DM15" s="623"/>
      <c r="DN15" s="623"/>
      <c r="DO15" s="623"/>
      <c r="DP15" s="623"/>
      <c r="DQ15" s="623"/>
      <c r="DR15" s="623"/>
      <c r="DS15" s="623"/>
      <c r="DT15" s="623"/>
      <c r="DU15" s="623"/>
      <c r="DV15" s="623"/>
      <c r="DW15" s="623"/>
      <c r="DX15" s="623"/>
      <c r="DY15" s="623"/>
      <c r="DZ15" s="623"/>
      <c r="EA15" s="623"/>
      <c r="EB15" s="623"/>
      <c r="EC15" s="623"/>
      <c r="ED15" s="623"/>
      <c r="EE15" s="623"/>
      <c r="EF15" s="623"/>
      <c r="EG15" s="623"/>
      <c r="EH15" s="623"/>
      <c r="EI15" s="623"/>
      <c r="EJ15" s="623"/>
      <c r="EK15" s="623"/>
      <c r="EL15" s="623"/>
      <c r="EM15" s="623"/>
      <c r="EN15" s="623"/>
      <c r="EO15" s="623"/>
      <c r="EP15" s="623"/>
      <c r="EQ15" s="623"/>
      <c r="ER15" s="623"/>
      <c r="ES15" s="623"/>
      <c r="ET15" s="623"/>
      <c r="EU15" s="623"/>
      <c r="EV15" s="623"/>
      <c r="EW15" s="623"/>
      <c r="EX15" s="623"/>
      <c r="EY15" s="623"/>
      <c r="EZ15" s="623"/>
      <c r="FA15" s="623"/>
      <c r="FB15" s="623"/>
      <c r="FC15" s="623"/>
      <c r="FD15" s="623"/>
      <c r="FE15" s="623"/>
      <c r="FF15" s="623"/>
      <c r="FG15" s="623"/>
      <c r="FH15" s="623"/>
      <c r="FI15" s="623"/>
      <c r="FJ15" s="623"/>
      <c r="FK15" s="623"/>
      <c r="FL15" s="623"/>
      <c r="FM15" s="623"/>
      <c r="FN15" s="623"/>
      <c r="FO15" s="623"/>
      <c r="FP15" s="623"/>
      <c r="FQ15" s="623"/>
      <c r="FR15" s="623"/>
      <c r="FS15" s="623"/>
      <c r="FT15" s="623"/>
      <c r="FU15" s="623"/>
      <c r="FV15" s="623"/>
      <c r="FW15" s="623"/>
      <c r="FX15" s="623"/>
      <c r="FY15" s="623"/>
      <c r="FZ15" s="623"/>
      <c r="GA15" s="623"/>
      <c r="GB15" s="623"/>
      <c r="GC15" s="623"/>
      <c r="GD15" s="623"/>
      <c r="GE15" s="623"/>
      <c r="GF15" s="623"/>
      <c r="GG15" s="623"/>
      <c r="GH15" s="623"/>
      <c r="GI15" s="623"/>
      <c r="GJ15" s="623"/>
      <c r="GK15" s="623"/>
      <c r="GL15" s="623"/>
      <c r="GM15" s="623"/>
      <c r="GN15" s="623"/>
      <c r="GO15" s="623"/>
      <c r="GP15" s="623"/>
      <c r="GQ15" s="623"/>
      <c r="GR15" s="623"/>
      <c r="GS15" s="623"/>
      <c r="GT15" s="623"/>
      <c r="GU15" s="623"/>
      <c r="GV15" s="623"/>
      <c r="GW15" s="623"/>
      <c r="GX15" s="623"/>
      <c r="GY15" s="623"/>
      <c r="GZ15" s="623"/>
      <c r="HA15" s="623"/>
      <c r="HB15" s="623"/>
      <c r="HC15" s="623"/>
      <c r="HD15" s="623"/>
      <c r="HE15" s="623"/>
      <c r="HF15" s="623"/>
      <c r="HG15" s="623"/>
      <c r="HH15" s="623"/>
      <c r="HI15" s="623"/>
      <c r="HJ15" s="623"/>
      <c r="HK15" s="623"/>
      <c r="HL15" s="623"/>
      <c r="HM15" s="623"/>
      <c r="HN15" s="623"/>
      <c r="HO15" s="623"/>
      <c r="HP15" s="623"/>
      <c r="HQ15" s="623"/>
      <c r="HR15" s="623"/>
      <c r="HS15" s="623"/>
      <c r="HT15" s="623"/>
      <c r="HU15" s="623"/>
      <c r="HV15" s="623"/>
      <c r="HW15" s="623"/>
      <c r="HX15" s="623"/>
      <c r="HY15" s="623"/>
      <c r="HZ15" s="623"/>
      <c r="IA15" s="623"/>
      <c r="IB15" s="623"/>
      <c r="IC15" s="623"/>
      <c r="ID15" s="623"/>
      <c r="IE15" s="623"/>
      <c r="IF15" s="623"/>
      <c r="IG15" s="623"/>
      <c r="IH15" s="623"/>
      <c r="II15" s="623"/>
      <c r="IJ15" s="623"/>
      <c r="IK15" s="623"/>
      <c r="IL15" s="623"/>
      <c r="IM15" s="623"/>
      <c r="IN15" s="623"/>
      <c r="IO15" s="623"/>
      <c r="IP15" s="623"/>
      <c r="IQ15" s="623"/>
      <c r="IR15" s="623"/>
      <c r="IS15" s="623"/>
      <c r="IT15" s="623"/>
      <c r="IU15" s="623"/>
      <c r="IV15" s="623"/>
      <c r="IW15" s="623"/>
    </row>
    <row r="16" customFormat="false" ht="12.75" hidden="false" customHeight="false" outlineLevel="0" collapsed="false">
      <c r="B16" s="624"/>
      <c r="D16" s="615"/>
      <c r="AI16" s="612"/>
      <c r="AJ16" s="612"/>
      <c r="AK16" s="612"/>
      <c r="AL16" s="612"/>
      <c r="AM16" s="612"/>
      <c r="AN16" s="612"/>
      <c r="AO16" s="612"/>
      <c r="AP16" s="612"/>
      <c r="AQ16" s="612"/>
      <c r="AR16" s="612"/>
      <c r="AS16" s="612"/>
      <c r="AT16" s="612"/>
      <c r="AU16" s="612"/>
      <c r="AV16" s="612"/>
      <c r="AW16" s="612"/>
      <c r="AX16" s="612"/>
      <c r="AY16" s="612"/>
      <c r="AZ16" s="612"/>
      <c r="BA16" s="612"/>
      <c r="BB16" s="612"/>
      <c r="BC16" s="612"/>
      <c r="BD16" s="612"/>
      <c r="BE16" s="612"/>
      <c r="BF16" s="612"/>
      <c r="BG16" s="612"/>
      <c r="BH16" s="612"/>
      <c r="BI16" s="612"/>
      <c r="BJ16" s="612"/>
      <c r="BK16" s="612"/>
      <c r="BL16" s="612"/>
      <c r="BM16" s="612"/>
      <c r="BN16" s="612"/>
      <c r="BO16" s="612"/>
      <c r="BP16" s="612"/>
      <c r="BQ16" s="612"/>
      <c r="BR16" s="612"/>
      <c r="BS16" s="612"/>
      <c r="BT16" s="612"/>
      <c r="BU16" s="612"/>
      <c r="BV16" s="612"/>
      <c r="BW16" s="612"/>
      <c r="BX16" s="612"/>
      <c r="BY16" s="612"/>
      <c r="BZ16" s="612"/>
      <c r="CA16" s="612"/>
      <c r="CB16" s="612"/>
      <c r="CC16" s="612"/>
      <c r="CD16" s="612"/>
      <c r="CE16" s="612"/>
      <c r="CF16" s="612"/>
      <c r="CG16" s="612"/>
      <c r="CH16" s="612"/>
      <c r="CI16" s="612"/>
      <c r="CJ16" s="612"/>
      <c r="CK16" s="612"/>
      <c r="CL16" s="612"/>
      <c r="CM16" s="612"/>
      <c r="CN16" s="612"/>
      <c r="CO16" s="612"/>
      <c r="CP16" s="612"/>
      <c r="CQ16" s="612"/>
      <c r="CR16" s="612"/>
      <c r="CS16" s="612"/>
      <c r="CT16" s="612"/>
      <c r="CU16" s="612"/>
      <c r="CV16" s="612"/>
      <c r="CW16" s="612"/>
      <c r="CX16" s="612"/>
      <c r="CY16" s="612"/>
      <c r="CZ16" s="612"/>
      <c r="DA16" s="612"/>
      <c r="DB16" s="612"/>
      <c r="DC16" s="612"/>
      <c r="DD16" s="612"/>
      <c r="DE16" s="612"/>
      <c r="DF16" s="612"/>
      <c r="DG16" s="612"/>
      <c r="DH16" s="612"/>
      <c r="DI16" s="612"/>
      <c r="DJ16" s="612"/>
      <c r="DK16" s="612"/>
      <c r="DL16" s="612"/>
      <c r="DM16" s="612"/>
      <c r="DN16" s="612"/>
      <c r="DO16" s="612"/>
      <c r="DP16" s="612"/>
      <c r="DQ16" s="612"/>
      <c r="DR16" s="612"/>
      <c r="DS16" s="612"/>
      <c r="DT16" s="612"/>
      <c r="DU16" s="612"/>
      <c r="DV16" s="612"/>
      <c r="DW16" s="612"/>
      <c r="DX16" s="612"/>
      <c r="DY16" s="612"/>
      <c r="DZ16" s="612"/>
      <c r="EA16" s="612"/>
      <c r="EB16" s="612"/>
      <c r="EC16" s="612"/>
      <c r="ED16" s="612"/>
      <c r="EE16" s="612"/>
      <c r="EF16" s="612"/>
      <c r="EG16" s="612"/>
      <c r="EH16" s="612"/>
      <c r="EI16" s="612"/>
      <c r="EJ16" s="612"/>
      <c r="EK16" s="612"/>
      <c r="EL16" s="612"/>
      <c r="EM16" s="612"/>
      <c r="EN16" s="612"/>
      <c r="EO16" s="612"/>
      <c r="EP16" s="612"/>
      <c r="EQ16" s="612"/>
      <c r="ER16" s="612"/>
      <c r="ES16" s="612"/>
      <c r="ET16" s="612"/>
      <c r="EU16" s="612"/>
      <c r="EV16" s="612"/>
      <c r="EW16" s="612"/>
      <c r="EX16" s="612"/>
      <c r="EY16" s="612"/>
      <c r="EZ16" s="612"/>
      <c r="FA16" s="612"/>
      <c r="FB16" s="612"/>
      <c r="FC16" s="612"/>
      <c r="FD16" s="612"/>
      <c r="FE16" s="612"/>
      <c r="FF16" s="612"/>
      <c r="FG16" s="612"/>
      <c r="FH16" s="612"/>
      <c r="FI16" s="612"/>
      <c r="FJ16" s="612"/>
      <c r="FK16" s="612"/>
      <c r="FL16" s="612"/>
      <c r="FM16" s="612"/>
      <c r="FN16" s="612"/>
      <c r="FO16" s="612"/>
      <c r="FP16" s="612"/>
      <c r="FQ16" s="612"/>
      <c r="FR16" s="612"/>
      <c r="FS16" s="612"/>
      <c r="FT16" s="612"/>
      <c r="FU16" s="612"/>
      <c r="FV16" s="612"/>
      <c r="FW16" s="612"/>
      <c r="FX16" s="612"/>
      <c r="FY16" s="612"/>
      <c r="FZ16" s="612"/>
      <c r="GA16" s="612"/>
      <c r="GB16" s="612"/>
      <c r="GC16" s="612"/>
      <c r="GD16" s="612"/>
      <c r="GE16" s="612"/>
      <c r="GF16" s="612"/>
      <c r="GG16" s="612"/>
      <c r="GH16" s="612"/>
      <c r="GI16" s="612"/>
      <c r="GJ16" s="612"/>
      <c r="GK16" s="612"/>
      <c r="GL16" s="612"/>
      <c r="GM16" s="612"/>
      <c r="GN16" s="612"/>
      <c r="GO16" s="612"/>
      <c r="GP16" s="612"/>
      <c r="GQ16" s="612"/>
      <c r="GR16" s="612"/>
      <c r="GS16" s="612"/>
      <c r="GT16" s="612"/>
      <c r="GU16" s="612"/>
      <c r="GV16" s="612"/>
      <c r="GW16" s="612"/>
      <c r="GX16" s="612"/>
      <c r="GY16" s="612"/>
      <c r="GZ16" s="612"/>
      <c r="HA16" s="612"/>
      <c r="HB16" s="612"/>
      <c r="HC16" s="612"/>
      <c r="HD16" s="612"/>
      <c r="HE16" s="612"/>
      <c r="HF16" s="612"/>
      <c r="HG16" s="612"/>
      <c r="HH16" s="612"/>
      <c r="HI16" s="612"/>
      <c r="HJ16" s="612"/>
      <c r="HK16" s="612"/>
      <c r="HL16" s="612"/>
      <c r="HM16" s="612"/>
      <c r="HN16" s="612"/>
      <c r="HO16" s="612"/>
      <c r="HP16" s="612"/>
      <c r="HQ16" s="612"/>
      <c r="HR16" s="612"/>
      <c r="HS16" s="612"/>
      <c r="HT16" s="612"/>
      <c r="HU16" s="612"/>
      <c r="HV16" s="612"/>
      <c r="HW16" s="612"/>
      <c r="HX16" s="612"/>
      <c r="HY16" s="612"/>
      <c r="HZ16" s="612"/>
      <c r="IA16" s="612"/>
      <c r="IB16" s="612"/>
      <c r="IC16" s="612"/>
      <c r="ID16" s="612"/>
      <c r="IE16" s="612"/>
      <c r="IF16" s="612"/>
      <c r="IG16" s="612"/>
      <c r="IH16" s="612"/>
      <c r="II16" s="612"/>
      <c r="IJ16" s="612"/>
      <c r="IK16" s="612"/>
      <c r="IL16" s="612"/>
      <c r="IM16" s="612"/>
      <c r="IN16" s="612"/>
      <c r="IO16" s="612"/>
      <c r="IP16" s="612"/>
      <c r="IQ16" s="612"/>
      <c r="IR16" s="612"/>
      <c r="IS16" s="612"/>
      <c r="IT16" s="612"/>
      <c r="IU16" s="612"/>
      <c r="IV16" s="612"/>
      <c r="IW16" s="612"/>
    </row>
    <row r="17" customFormat="false" ht="12.75" hidden="false" customHeight="false" outlineLevel="0" collapsed="false">
      <c r="A17" s="616" t="s">
        <v>407</v>
      </c>
      <c r="B17" s="625" t="n">
        <f aca="false">Assumptions!D43-Assumptions!D39-Assumptions!D40</f>
        <v>126615.782155181</v>
      </c>
      <c r="C17" s="626"/>
      <c r="D17" s="627" t="n">
        <f aca="false">$B$17*D14</f>
        <v>6330.78910775906</v>
      </c>
      <c r="E17" s="627" t="n">
        <f aca="false">$B$17*E14</f>
        <v>12028.4993047422</v>
      </c>
      <c r="F17" s="627" t="n">
        <f aca="false">$B$17*F14</f>
        <v>10825.649374268</v>
      </c>
      <c r="G17" s="627" t="n">
        <f aca="false">$B$17*G14</f>
        <v>9749.41522594896</v>
      </c>
      <c r="H17" s="627" t="n">
        <f aca="false">$B$17*H14</f>
        <v>8774.47370335406</v>
      </c>
      <c r="I17" s="627" t="n">
        <f aca="false">$B$17*I14</f>
        <v>7888.16322826779</v>
      </c>
      <c r="J17" s="627" t="n">
        <f aca="false">$B$17*J14</f>
        <v>7470.33114715569</v>
      </c>
      <c r="K17" s="627" t="n">
        <f aca="false">$B$17*K14</f>
        <v>7482.99272537121</v>
      </c>
      <c r="L17" s="627" t="n">
        <f aca="false">$B$17*L14</f>
        <v>7470.33114715569</v>
      </c>
      <c r="M17" s="627" t="n">
        <f aca="false">$B$17*M14</f>
        <v>7482.99272537121</v>
      </c>
      <c r="N17" s="627" t="n">
        <f aca="false">$B$17*N14</f>
        <v>7470.33114715569</v>
      </c>
      <c r="O17" s="627" t="n">
        <f aca="false">$B$17*O14</f>
        <v>7482.99272537121</v>
      </c>
      <c r="P17" s="627" t="n">
        <f aca="false">$B$17*P14</f>
        <v>7470.33114715569</v>
      </c>
      <c r="Q17" s="627" t="n">
        <f aca="false">$B$17*Q14</f>
        <v>7482.99272537121</v>
      </c>
      <c r="R17" s="627" t="n">
        <f aca="false">$B$17*R14</f>
        <v>7470.33114715569</v>
      </c>
      <c r="S17" s="627" t="n">
        <f aca="false">$B$17*S14</f>
        <v>3735.16557357785</v>
      </c>
      <c r="T17" s="627" t="n">
        <f aca="false">$B$17*T14</f>
        <v>0</v>
      </c>
      <c r="U17" s="627" t="n">
        <f aca="false">$B$17*U14</f>
        <v>0</v>
      </c>
      <c r="V17" s="627" t="n">
        <f aca="false">$B$17*V14</f>
        <v>0</v>
      </c>
      <c r="W17" s="627" t="n">
        <f aca="false">$B$17*W14</f>
        <v>0</v>
      </c>
      <c r="X17" s="627" t="n">
        <f aca="false">$B$17*X14</f>
        <v>0</v>
      </c>
      <c r="Y17" s="627" t="n">
        <f aca="false">$B$17*Y14</f>
        <v>0</v>
      </c>
      <c r="Z17" s="627" t="n">
        <f aca="false">$B$17*Z14</f>
        <v>0</v>
      </c>
      <c r="AA17" s="627" t="n">
        <f aca="false">$B$17*AA14</f>
        <v>0</v>
      </c>
      <c r="AB17" s="627" t="n">
        <f aca="false">$B$17*AB14</f>
        <v>0</v>
      </c>
      <c r="AC17" s="627" t="n">
        <f aca="false">$B$17*AC14</f>
        <v>0</v>
      </c>
      <c r="AD17" s="627" t="n">
        <f aca="false">$B$17*AD14</f>
        <v>0</v>
      </c>
      <c r="AE17" s="627" t="n">
        <f aca="false">$B$17*AE14</f>
        <v>0</v>
      </c>
      <c r="AF17" s="627" t="n">
        <f aca="false">$B$17*AF14</f>
        <v>0</v>
      </c>
      <c r="AG17" s="627" t="n">
        <f aca="false">$B$17*AG14</f>
        <v>0</v>
      </c>
      <c r="AH17" s="627" t="n">
        <f aca="false">$B$17*AH14</f>
        <v>0</v>
      </c>
      <c r="AI17" s="612"/>
      <c r="AJ17" s="612"/>
      <c r="AK17" s="612"/>
      <c r="AL17" s="612"/>
      <c r="AM17" s="612"/>
      <c r="AN17" s="612"/>
      <c r="AO17" s="612"/>
      <c r="AP17" s="612"/>
      <c r="AQ17" s="612"/>
      <c r="AR17" s="612"/>
      <c r="AS17" s="612"/>
      <c r="AT17" s="612"/>
      <c r="AU17" s="612"/>
      <c r="AV17" s="612"/>
      <c r="AW17" s="612"/>
      <c r="AX17" s="612"/>
      <c r="AY17" s="612"/>
      <c r="AZ17" s="612"/>
      <c r="BA17" s="612"/>
      <c r="BB17" s="612"/>
      <c r="BC17" s="612"/>
      <c r="BD17" s="612"/>
      <c r="BE17" s="612"/>
      <c r="BF17" s="612"/>
      <c r="BG17" s="612"/>
      <c r="BH17" s="612"/>
      <c r="BI17" s="612"/>
      <c r="BJ17" s="612"/>
      <c r="BK17" s="612"/>
      <c r="BL17" s="612"/>
      <c r="BM17" s="612"/>
      <c r="BN17" s="612"/>
      <c r="BO17" s="612"/>
      <c r="BP17" s="612"/>
      <c r="BQ17" s="612"/>
      <c r="BR17" s="612"/>
      <c r="BS17" s="612"/>
      <c r="BT17" s="612"/>
      <c r="BU17" s="612"/>
      <c r="BV17" s="612"/>
      <c r="BW17" s="612"/>
      <c r="BX17" s="612"/>
      <c r="BY17" s="612"/>
      <c r="BZ17" s="612"/>
      <c r="CA17" s="612"/>
      <c r="CB17" s="612"/>
      <c r="CC17" s="612"/>
      <c r="CD17" s="612"/>
      <c r="CE17" s="612"/>
      <c r="CF17" s="612"/>
      <c r="CG17" s="612"/>
      <c r="CH17" s="612"/>
      <c r="CI17" s="612"/>
      <c r="CJ17" s="612"/>
      <c r="CK17" s="612"/>
      <c r="CL17" s="612"/>
      <c r="CM17" s="612"/>
      <c r="CN17" s="612"/>
      <c r="CO17" s="612"/>
      <c r="CP17" s="612"/>
      <c r="CQ17" s="612"/>
      <c r="CR17" s="612"/>
      <c r="CS17" s="612"/>
      <c r="CT17" s="612"/>
      <c r="CU17" s="612"/>
      <c r="CV17" s="612"/>
      <c r="CW17" s="612"/>
      <c r="CX17" s="612"/>
      <c r="CY17" s="612"/>
      <c r="CZ17" s="612"/>
      <c r="DA17" s="612"/>
      <c r="DB17" s="612"/>
      <c r="DC17" s="612"/>
      <c r="DD17" s="612"/>
      <c r="DE17" s="612"/>
      <c r="DF17" s="612"/>
      <c r="DG17" s="612"/>
      <c r="DH17" s="612"/>
      <c r="DI17" s="612"/>
      <c r="DJ17" s="612"/>
      <c r="DK17" s="612"/>
      <c r="DL17" s="612"/>
      <c r="DM17" s="612"/>
      <c r="DN17" s="612"/>
      <c r="DO17" s="612"/>
      <c r="DP17" s="612"/>
      <c r="DQ17" s="612"/>
      <c r="DR17" s="612"/>
      <c r="DS17" s="612"/>
      <c r="DT17" s="612"/>
      <c r="DU17" s="612"/>
      <c r="DV17" s="612"/>
      <c r="DW17" s="612"/>
      <c r="DX17" s="612"/>
      <c r="DY17" s="612"/>
      <c r="DZ17" s="612"/>
      <c r="EA17" s="612"/>
      <c r="EB17" s="612"/>
      <c r="EC17" s="612"/>
      <c r="ED17" s="612"/>
      <c r="EE17" s="612"/>
      <c r="EF17" s="612"/>
      <c r="EG17" s="612"/>
      <c r="EH17" s="612"/>
      <c r="EI17" s="612"/>
      <c r="EJ17" s="612"/>
      <c r="EK17" s="612"/>
      <c r="EL17" s="612"/>
      <c r="EM17" s="612"/>
      <c r="EN17" s="612"/>
      <c r="EO17" s="612"/>
      <c r="EP17" s="612"/>
      <c r="EQ17" s="612"/>
      <c r="ER17" s="612"/>
      <c r="ES17" s="612"/>
      <c r="ET17" s="612"/>
      <c r="EU17" s="612"/>
      <c r="EV17" s="612"/>
      <c r="EW17" s="612"/>
      <c r="EX17" s="612"/>
      <c r="EY17" s="612"/>
      <c r="EZ17" s="612"/>
      <c r="FA17" s="612"/>
      <c r="FB17" s="612"/>
      <c r="FC17" s="612"/>
      <c r="FD17" s="612"/>
      <c r="FE17" s="612"/>
      <c r="FF17" s="612"/>
      <c r="FG17" s="612"/>
      <c r="FH17" s="612"/>
      <c r="FI17" s="612"/>
      <c r="FJ17" s="612"/>
      <c r="FK17" s="612"/>
      <c r="FL17" s="612"/>
      <c r="FM17" s="612"/>
      <c r="FN17" s="612"/>
      <c r="FO17" s="612"/>
      <c r="FP17" s="612"/>
      <c r="FQ17" s="612"/>
      <c r="FR17" s="612"/>
      <c r="FS17" s="612"/>
      <c r="FT17" s="612"/>
      <c r="FU17" s="612"/>
      <c r="FV17" s="612"/>
      <c r="FW17" s="612"/>
      <c r="FX17" s="612"/>
      <c r="FY17" s="612"/>
      <c r="FZ17" s="612"/>
      <c r="GA17" s="612"/>
      <c r="GB17" s="612"/>
      <c r="GC17" s="612"/>
      <c r="GD17" s="612"/>
      <c r="GE17" s="612"/>
      <c r="GF17" s="612"/>
      <c r="GG17" s="612"/>
      <c r="GH17" s="612"/>
      <c r="GI17" s="612"/>
      <c r="GJ17" s="612"/>
      <c r="GK17" s="612"/>
      <c r="GL17" s="612"/>
      <c r="GM17" s="612"/>
      <c r="GN17" s="612"/>
      <c r="GO17" s="612"/>
      <c r="GP17" s="612"/>
      <c r="GQ17" s="612"/>
      <c r="GR17" s="612"/>
      <c r="GS17" s="612"/>
      <c r="GT17" s="612"/>
      <c r="GU17" s="612"/>
      <c r="GV17" s="612"/>
      <c r="GW17" s="612"/>
      <c r="GX17" s="612"/>
      <c r="GY17" s="612"/>
      <c r="GZ17" s="612"/>
      <c r="HA17" s="612"/>
      <c r="HB17" s="612"/>
      <c r="HC17" s="612"/>
      <c r="HD17" s="612"/>
      <c r="HE17" s="612"/>
      <c r="HF17" s="612"/>
      <c r="HG17" s="612"/>
      <c r="HH17" s="612"/>
      <c r="HI17" s="612"/>
      <c r="HJ17" s="612"/>
      <c r="HK17" s="612"/>
      <c r="HL17" s="612"/>
      <c r="HM17" s="612"/>
      <c r="HN17" s="612"/>
      <c r="HO17" s="612"/>
      <c r="HP17" s="612"/>
      <c r="HQ17" s="612"/>
      <c r="HR17" s="612"/>
      <c r="HS17" s="612"/>
      <c r="HT17" s="612"/>
      <c r="HU17" s="612"/>
      <c r="HV17" s="612"/>
      <c r="HW17" s="612"/>
      <c r="HX17" s="612"/>
      <c r="HY17" s="612"/>
      <c r="HZ17" s="612"/>
      <c r="IA17" s="612"/>
      <c r="IB17" s="612"/>
      <c r="IC17" s="612"/>
      <c r="ID17" s="612"/>
      <c r="IE17" s="612"/>
      <c r="IF17" s="612"/>
      <c r="IG17" s="612"/>
      <c r="IH17" s="612"/>
      <c r="II17" s="612"/>
      <c r="IJ17" s="612"/>
      <c r="IK17" s="612"/>
      <c r="IL17" s="612"/>
      <c r="IM17" s="612"/>
      <c r="IN17" s="612"/>
      <c r="IO17" s="612"/>
      <c r="IP17" s="612"/>
      <c r="IQ17" s="612"/>
      <c r="IR17" s="612"/>
      <c r="IS17" s="612"/>
      <c r="IT17" s="612"/>
      <c r="IU17" s="612"/>
      <c r="IV17" s="612"/>
      <c r="IW17" s="612"/>
    </row>
    <row r="18" customFormat="false" ht="15" hidden="false" customHeight="false" outlineLevel="0" collapsed="false">
      <c r="A18" s="620" t="s">
        <v>406</v>
      </c>
      <c r="B18" s="628" t="n">
        <f aca="false">SUM(Assumptions!D34:D36)</f>
        <v>900</v>
      </c>
      <c r="C18" s="626"/>
      <c r="D18" s="629" t="n">
        <f aca="false">$B$18*D15</f>
        <v>30.0821917808219</v>
      </c>
      <c r="E18" s="629" t="n">
        <f aca="false">$B$18*E15</f>
        <v>45</v>
      </c>
      <c r="F18" s="629" t="n">
        <f aca="false">$B$18*F15</f>
        <v>45</v>
      </c>
      <c r="G18" s="629" t="n">
        <f aca="false">$B$18*G15</f>
        <v>45</v>
      </c>
      <c r="H18" s="629" t="n">
        <f aca="false">$B$18*H15</f>
        <v>45</v>
      </c>
      <c r="I18" s="629" t="n">
        <f aca="false">$B$18*I15</f>
        <v>45</v>
      </c>
      <c r="J18" s="629" t="n">
        <f aca="false">$B$18*J15</f>
        <v>45</v>
      </c>
      <c r="K18" s="629" t="n">
        <f aca="false">$B$18*K15</f>
        <v>45</v>
      </c>
      <c r="L18" s="629" t="n">
        <f aca="false">$B$18*L15</f>
        <v>45</v>
      </c>
      <c r="M18" s="629" t="n">
        <f aca="false">$B$18*M15</f>
        <v>45</v>
      </c>
      <c r="N18" s="629" t="n">
        <f aca="false">$B$18*N15</f>
        <v>45</v>
      </c>
      <c r="O18" s="629" t="n">
        <f aca="false">$B$18*O15</f>
        <v>45</v>
      </c>
      <c r="P18" s="629" t="n">
        <f aca="false">$B$18*P15</f>
        <v>45</v>
      </c>
      <c r="Q18" s="629" t="n">
        <f aca="false">$B$18*Q15</f>
        <v>45</v>
      </c>
      <c r="R18" s="629" t="n">
        <f aca="false">$B$18*R15</f>
        <v>45</v>
      </c>
      <c r="S18" s="629" t="n">
        <f aca="false">$B$18*S15</f>
        <v>45</v>
      </c>
      <c r="T18" s="629" t="n">
        <f aca="false">$B$18*T15</f>
        <v>45</v>
      </c>
      <c r="U18" s="629" t="n">
        <f aca="false">$B$18*U15</f>
        <v>45</v>
      </c>
      <c r="V18" s="629" t="n">
        <f aca="false">$B$18*V15</f>
        <v>45</v>
      </c>
      <c r="W18" s="629" t="n">
        <f aca="false">$B$18*W15</f>
        <v>45</v>
      </c>
      <c r="X18" s="629" t="n">
        <f aca="false">$B$18*X15</f>
        <v>0</v>
      </c>
      <c r="Y18" s="629" t="n">
        <f aca="false">$B$18*Y15</f>
        <v>0</v>
      </c>
      <c r="Z18" s="629" t="n">
        <f aca="false">$B$18*Z15</f>
        <v>0</v>
      </c>
      <c r="AA18" s="629" t="n">
        <f aca="false">$B$18*AA15</f>
        <v>0</v>
      </c>
      <c r="AB18" s="629" t="n">
        <f aca="false">$B$18*AB15</f>
        <v>0</v>
      </c>
      <c r="AC18" s="629" t="n">
        <f aca="false">$B$18*AC15</f>
        <v>0</v>
      </c>
      <c r="AD18" s="629" t="n">
        <f aca="false">$B$18*AD15</f>
        <v>0</v>
      </c>
      <c r="AE18" s="629" t="n">
        <f aca="false">$B$18*AE15</f>
        <v>0</v>
      </c>
      <c r="AF18" s="629" t="n">
        <f aca="false">$B$18*AF15</f>
        <v>0</v>
      </c>
      <c r="AG18" s="629" t="n">
        <f aca="false">$B$18*AG15</f>
        <v>0</v>
      </c>
      <c r="AH18" s="629" t="n">
        <f aca="false">$B$18*AH15</f>
        <v>0</v>
      </c>
      <c r="AI18" s="612"/>
      <c r="AJ18" s="612"/>
      <c r="AK18" s="612"/>
      <c r="AL18" s="612"/>
      <c r="AM18" s="612"/>
      <c r="AN18" s="612"/>
      <c r="AO18" s="612"/>
      <c r="AP18" s="612"/>
      <c r="AQ18" s="612"/>
      <c r="AR18" s="612"/>
      <c r="AS18" s="612"/>
      <c r="AT18" s="612"/>
      <c r="AU18" s="612"/>
      <c r="AV18" s="612"/>
      <c r="AW18" s="612"/>
      <c r="AX18" s="612"/>
      <c r="AY18" s="612"/>
      <c r="AZ18" s="612"/>
      <c r="BA18" s="612"/>
      <c r="BB18" s="612"/>
      <c r="BC18" s="612"/>
      <c r="BD18" s="612"/>
      <c r="BE18" s="612"/>
      <c r="BF18" s="612"/>
      <c r="BG18" s="612"/>
      <c r="BH18" s="612"/>
      <c r="BI18" s="612"/>
      <c r="BJ18" s="612"/>
      <c r="BK18" s="612"/>
      <c r="BL18" s="612"/>
      <c r="BM18" s="612"/>
      <c r="BN18" s="612"/>
      <c r="BO18" s="612"/>
      <c r="BP18" s="612"/>
      <c r="BQ18" s="612"/>
      <c r="BR18" s="612"/>
      <c r="BS18" s="612"/>
      <c r="BT18" s="612"/>
      <c r="BU18" s="612"/>
      <c r="BV18" s="612"/>
      <c r="BW18" s="612"/>
      <c r="BX18" s="612"/>
      <c r="BY18" s="612"/>
      <c r="BZ18" s="612"/>
      <c r="CA18" s="612"/>
      <c r="CB18" s="612"/>
      <c r="CC18" s="612"/>
      <c r="CD18" s="612"/>
      <c r="CE18" s="612"/>
      <c r="CF18" s="612"/>
      <c r="CG18" s="612"/>
      <c r="CH18" s="612"/>
      <c r="CI18" s="612"/>
      <c r="CJ18" s="612"/>
      <c r="CK18" s="612"/>
      <c r="CL18" s="612"/>
      <c r="CM18" s="612"/>
      <c r="CN18" s="612"/>
      <c r="CO18" s="612"/>
      <c r="CP18" s="612"/>
      <c r="CQ18" s="612"/>
      <c r="CR18" s="612"/>
      <c r="CS18" s="612"/>
      <c r="CT18" s="612"/>
      <c r="CU18" s="612"/>
      <c r="CV18" s="612"/>
      <c r="CW18" s="612"/>
      <c r="CX18" s="612"/>
      <c r="CY18" s="612"/>
      <c r="CZ18" s="612"/>
      <c r="DA18" s="612"/>
      <c r="DB18" s="612"/>
      <c r="DC18" s="612"/>
      <c r="DD18" s="612"/>
      <c r="DE18" s="612"/>
      <c r="DF18" s="612"/>
      <c r="DG18" s="612"/>
      <c r="DH18" s="612"/>
      <c r="DI18" s="612"/>
      <c r="DJ18" s="612"/>
      <c r="DK18" s="612"/>
      <c r="DL18" s="612"/>
      <c r="DM18" s="612"/>
      <c r="DN18" s="612"/>
      <c r="DO18" s="612"/>
      <c r="DP18" s="612"/>
      <c r="DQ18" s="612"/>
      <c r="DR18" s="612"/>
      <c r="DS18" s="612"/>
      <c r="DT18" s="612"/>
      <c r="DU18" s="612"/>
      <c r="DV18" s="612"/>
      <c r="DW18" s="612"/>
      <c r="DX18" s="612"/>
      <c r="DY18" s="612"/>
      <c r="DZ18" s="612"/>
      <c r="EA18" s="612"/>
      <c r="EB18" s="612"/>
      <c r="EC18" s="612"/>
      <c r="ED18" s="612"/>
      <c r="EE18" s="612"/>
      <c r="EF18" s="612"/>
      <c r="EG18" s="612"/>
      <c r="EH18" s="612"/>
      <c r="EI18" s="612"/>
      <c r="EJ18" s="612"/>
      <c r="EK18" s="612"/>
      <c r="EL18" s="612"/>
      <c r="EM18" s="612"/>
      <c r="EN18" s="612"/>
      <c r="EO18" s="612"/>
      <c r="EP18" s="612"/>
      <c r="EQ18" s="612"/>
      <c r="ER18" s="612"/>
      <c r="ES18" s="612"/>
      <c r="ET18" s="612"/>
      <c r="EU18" s="612"/>
      <c r="EV18" s="612"/>
      <c r="EW18" s="612"/>
      <c r="EX18" s="612"/>
      <c r="EY18" s="612"/>
      <c r="EZ18" s="612"/>
      <c r="FA18" s="612"/>
      <c r="FB18" s="612"/>
      <c r="FC18" s="612"/>
      <c r="FD18" s="612"/>
      <c r="FE18" s="612"/>
      <c r="FF18" s="612"/>
      <c r="FG18" s="612"/>
      <c r="FH18" s="612"/>
      <c r="FI18" s="612"/>
      <c r="FJ18" s="612"/>
      <c r="FK18" s="612"/>
      <c r="FL18" s="612"/>
      <c r="FM18" s="612"/>
      <c r="FN18" s="612"/>
      <c r="FO18" s="612"/>
      <c r="FP18" s="612"/>
      <c r="FQ18" s="612"/>
      <c r="FR18" s="612"/>
      <c r="FS18" s="612"/>
      <c r="FT18" s="612"/>
      <c r="FU18" s="612"/>
      <c r="FV18" s="612"/>
      <c r="FW18" s="612"/>
      <c r="FX18" s="612"/>
      <c r="FY18" s="612"/>
      <c r="FZ18" s="612"/>
      <c r="GA18" s="612"/>
      <c r="GB18" s="612"/>
      <c r="GC18" s="612"/>
      <c r="GD18" s="612"/>
      <c r="GE18" s="612"/>
      <c r="GF18" s="612"/>
      <c r="GG18" s="612"/>
      <c r="GH18" s="612"/>
      <c r="GI18" s="612"/>
      <c r="GJ18" s="612"/>
      <c r="GK18" s="612"/>
      <c r="GL18" s="612"/>
      <c r="GM18" s="612"/>
      <c r="GN18" s="612"/>
      <c r="GO18" s="612"/>
      <c r="GP18" s="612"/>
      <c r="GQ18" s="612"/>
      <c r="GR18" s="612"/>
      <c r="GS18" s="612"/>
      <c r="GT18" s="612"/>
      <c r="GU18" s="612"/>
      <c r="GV18" s="612"/>
      <c r="GW18" s="612"/>
      <c r="GX18" s="612"/>
      <c r="GY18" s="612"/>
      <c r="GZ18" s="612"/>
      <c r="HA18" s="612"/>
      <c r="HB18" s="612"/>
      <c r="HC18" s="612"/>
      <c r="HD18" s="612"/>
      <c r="HE18" s="612"/>
      <c r="HF18" s="612"/>
      <c r="HG18" s="612"/>
      <c r="HH18" s="612"/>
      <c r="HI18" s="612"/>
      <c r="HJ18" s="612"/>
      <c r="HK18" s="612"/>
      <c r="HL18" s="612"/>
      <c r="HM18" s="612"/>
      <c r="HN18" s="612"/>
      <c r="HO18" s="612"/>
      <c r="HP18" s="612"/>
      <c r="HQ18" s="612"/>
      <c r="HR18" s="612"/>
      <c r="HS18" s="612"/>
      <c r="HT18" s="612"/>
      <c r="HU18" s="612"/>
      <c r="HV18" s="612"/>
      <c r="HW18" s="612"/>
      <c r="HX18" s="612"/>
      <c r="HY18" s="612"/>
      <c r="HZ18" s="612"/>
      <c r="IA18" s="612"/>
      <c r="IB18" s="612"/>
      <c r="IC18" s="612"/>
      <c r="ID18" s="612"/>
      <c r="IE18" s="612"/>
      <c r="IF18" s="612"/>
      <c r="IG18" s="612"/>
      <c r="IH18" s="612"/>
      <c r="II18" s="612"/>
      <c r="IJ18" s="612"/>
      <c r="IK18" s="612"/>
      <c r="IL18" s="612"/>
      <c r="IM18" s="612"/>
      <c r="IN18" s="612"/>
      <c r="IO18" s="612"/>
      <c r="IP18" s="612"/>
      <c r="IQ18" s="612"/>
      <c r="IR18" s="612"/>
      <c r="IS18" s="612"/>
      <c r="IT18" s="612"/>
      <c r="IU18" s="612"/>
      <c r="IV18" s="612"/>
      <c r="IW18" s="612"/>
    </row>
    <row r="19" customFormat="false" ht="12.75" hidden="false" customHeight="false" outlineLevel="0" collapsed="false">
      <c r="A19" s="620" t="s">
        <v>408</v>
      </c>
      <c r="B19" s="625" t="n">
        <f aca="false">SUM(B17:B18)</f>
        <v>127515.782155181</v>
      </c>
      <c r="C19" s="630"/>
      <c r="D19" s="627" t="n">
        <f aca="false">SUM(D17:D18)</f>
        <v>6360.87129953989</v>
      </c>
      <c r="E19" s="627" t="n">
        <f aca="false">SUM(E17:E18)</f>
        <v>12073.4993047422</v>
      </c>
      <c r="F19" s="627" t="n">
        <f aca="false">SUM(F17:F18)</f>
        <v>10870.649374268</v>
      </c>
      <c r="G19" s="627" t="n">
        <f aca="false">SUM(G17:G18)</f>
        <v>9794.41522594896</v>
      </c>
      <c r="H19" s="627" t="n">
        <f aca="false">SUM(H17:H18)</f>
        <v>8819.47370335406</v>
      </c>
      <c r="I19" s="627" t="n">
        <f aca="false">SUM(I17:I18)</f>
        <v>7933.16322826779</v>
      </c>
      <c r="J19" s="627" t="n">
        <f aca="false">SUM(J17:J18)</f>
        <v>7515.33114715569</v>
      </c>
      <c r="K19" s="627" t="n">
        <f aca="false">SUM(K17:K18)</f>
        <v>7527.99272537121</v>
      </c>
      <c r="L19" s="627" t="n">
        <f aca="false">SUM(L17:L18)</f>
        <v>7515.33114715569</v>
      </c>
      <c r="M19" s="627" t="n">
        <f aca="false">SUM(M17:M18)</f>
        <v>7527.99272537121</v>
      </c>
      <c r="N19" s="627" t="n">
        <f aca="false">SUM(N17:N18)</f>
        <v>7515.33114715569</v>
      </c>
      <c r="O19" s="627" t="n">
        <f aca="false">SUM(O17:O18)</f>
        <v>7527.99272537121</v>
      </c>
      <c r="P19" s="627" t="n">
        <f aca="false">SUM(P17:P18)</f>
        <v>7515.33114715569</v>
      </c>
      <c r="Q19" s="627" t="n">
        <f aca="false">SUM(Q17:Q18)</f>
        <v>7527.99272537121</v>
      </c>
      <c r="R19" s="627" t="n">
        <f aca="false">SUM(R17:R18)</f>
        <v>7515.33114715569</v>
      </c>
      <c r="S19" s="627" t="n">
        <f aca="false">SUM(S17:S18)</f>
        <v>3780.16557357785</v>
      </c>
      <c r="T19" s="627" t="n">
        <f aca="false">SUM(T17:T18)</f>
        <v>45</v>
      </c>
      <c r="U19" s="627" t="n">
        <f aca="false">SUM(U17:U18)</f>
        <v>45</v>
      </c>
      <c r="V19" s="627" t="n">
        <f aca="false">SUM(V17:V18)</f>
        <v>45</v>
      </c>
      <c r="W19" s="627" t="n">
        <f aca="false">SUM(W17:W18)</f>
        <v>45</v>
      </c>
      <c r="X19" s="627" t="n">
        <f aca="false">SUM(X17:X18)</f>
        <v>0</v>
      </c>
      <c r="Y19" s="627" t="n">
        <f aca="false">SUM(Y17:Y18)</f>
        <v>0</v>
      </c>
      <c r="Z19" s="627" t="n">
        <f aca="false">SUM(Z17:Z18)</f>
        <v>0</v>
      </c>
      <c r="AA19" s="627" t="n">
        <f aca="false">SUM(AA17:AA18)</f>
        <v>0</v>
      </c>
      <c r="AB19" s="627" t="n">
        <f aca="false">SUM(AB17:AB18)</f>
        <v>0</v>
      </c>
      <c r="AC19" s="627" t="n">
        <f aca="false">SUM(AC17:AC18)</f>
        <v>0</v>
      </c>
      <c r="AD19" s="627" t="n">
        <f aca="false">SUM(AD17:AD18)</f>
        <v>0</v>
      </c>
      <c r="AE19" s="627" t="n">
        <f aca="false">SUM(AE17:AE18)</f>
        <v>0</v>
      </c>
      <c r="AF19" s="627" t="n">
        <f aca="false">SUM(AF17:AF18)</f>
        <v>0</v>
      </c>
      <c r="AG19" s="627" t="n">
        <f aca="false">SUM(AG17:AG18)</f>
        <v>0</v>
      </c>
      <c r="AH19" s="627" t="n">
        <f aca="false">SUM(AH17:AH18)</f>
        <v>0</v>
      </c>
      <c r="AI19" s="612"/>
      <c r="AJ19" s="612"/>
      <c r="AK19" s="612"/>
      <c r="AL19" s="612"/>
      <c r="AM19" s="612"/>
      <c r="AN19" s="612"/>
      <c r="AO19" s="612"/>
      <c r="AP19" s="612"/>
      <c r="AQ19" s="612"/>
      <c r="AR19" s="612"/>
      <c r="AS19" s="612"/>
      <c r="AT19" s="612"/>
      <c r="AU19" s="612"/>
      <c r="AV19" s="612"/>
      <c r="AW19" s="612"/>
      <c r="AX19" s="612"/>
      <c r="AY19" s="612"/>
      <c r="AZ19" s="612"/>
      <c r="BA19" s="612"/>
      <c r="BB19" s="612"/>
      <c r="BC19" s="612"/>
      <c r="BD19" s="612"/>
      <c r="BE19" s="612"/>
      <c r="BF19" s="612"/>
      <c r="BG19" s="612"/>
      <c r="BH19" s="612"/>
      <c r="BI19" s="612"/>
      <c r="BJ19" s="612"/>
      <c r="BK19" s="612"/>
      <c r="BL19" s="612"/>
      <c r="BM19" s="612"/>
      <c r="BN19" s="612"/>
      <c r="BO19" s="612"/>
      <c r="BP19" s="612"/>
      <c r="BQ19" s="612"/>
      <c r="BR19" s="612"/>
      <c r="BS19" s="612"/>
      <c r="BT19" s="612"/>
      <c r="BU19" s="612"/>
      <c r="BV19" s="612"/>
      <c r="BW19" s="612"/>
      <c r="BX19" s="612"/>
      <c r="BY19" s="612"/>
      <c r="BZ19" s="612"/>
      <c r="CA19" s="612"/>
      <c r="CB19" s="612"/>
      <c r="CC19" s="612"/>
      <c r="CD19" s="612"/>
      <c r="CE19" s="612"/>
      <c r="CF19" s="612"/>
      <c r="CG19" s="612"/>
      <c r="CH19" s="612"/>
      <c r="CI19" s="612"/>
      <c r="CJ19" s="612"/>
      <c r="CK19" s="612"/>
      <c r="CL19" s="612"/>
      <c r="CM19" s="612"/>
      <c r="CN19" s="612"/>
      <c r="CO19" s="612"/>
      <c r="CP19" s="612"/>
      <c r="CQ19" s="612"/>
      <c r="CR19" s="612"/>
      <c r="CS19" s="612"/>
      <c r="CT19" s="612"/>
      <c r="CU19" s="612"/>
      <c r="CV19" s="612"/>
      <c r="CW19" s="612"/>
      <c r="CX19" s="612"/>
      <c r="CY19" s="612"/>
      <c r="CZ19" s="612"/>
      <c r="DA19" s="612"/>
      <c r="DB19" s="612"/>
      <c r="DC19" s="612"/>
      <c r="DD19" s="612"/>
      <c r="DE19" s="612"/>
      <c r="DF19" s="612"/>
      <c r="DG19" s="612"/>
      <c r="DH19" s="612"/>
      <c r="DI19" s="612"/>
      <c r="DJ19" s="612"/>
      <c r="DK19" s="612"/>
      <c r="DL19" s="612"/>
      <c r="DM19" s="612"/>
      <c r="DN19" s="612"/>
      <c r="DO19" s="612"/>
      <c r="DP19" s="612"/>
      <c r="DQ19" s="612"/>
      <c r="DR19" s="612"/>
      <c r="DS19" s="612"/>
      <c r="DT19" s="612"/>
      <c r="DU19" s="612"/>
      <c r="DV19" s="612"/>
      <c r="DW19" s="612"/>
      <c r="DX19" s="612"/>
      <c r="DY19" s="612"/>
      <c r="DZ19" s="612"/>
      <c r="EA19" s="612"/>
      <c r="EB19" s="612"/>
      <c r="EC19" s="612"/>
      <c r="ED19" s="612"/>
      <c r="EE19" s="612"/>
      <c r="EF19" s="612"/>
      <c r="EG19" s="612"/>
      <c r="EH19" s="612"/>
      <c r="EI19" s="612"/>
      <c r="EJ19" s="612"/>
      <c r="EK19" s="612"/>
      <c r="EL19" s="612"/>
      <c r="EM19" s="612"/>
      <c r="EN19" s="612"/>
      <c r="EO19" s="612"/>
      <c r="EP19" s="612"/>
      <c r="EQ19" s="612"/>
      <c r="ER19" s="612"/>
      <c r="ES19" s="612"/>
      <c r="ET19" s="612"/>
      <c r="EU19" s="612"/>
      <c r="EV19" s="612"/>
      <c r="EW19" s="612"/>
      <c r="EX19" s="612"/>
      <c r="EY19" s="612"/>
      <c r="EZ19" s="612"/>
      <c r="FA19" s="612"/>
      <c r="FB19" s="612"/>
      <c r="FC19" s="612"/>
      <c r="FD19" s="612"/>
      <c r="FE19" s="612"/>
      <c r="FF19" s="612"/>
      <c r="FG19" s="612"/>
      <c r="FH19" s="612"/>
      <c r="FI19" s="612"/>
      <c r="FJ19" s="612"/>
      <c r="FK19" s="612"/>
      <c r="FL19" s="612"/>
      <c r="FM19" s="612"/>
      <c r="FN19" s="612"/>
      <c r="FO19" s="612"/>
      <c r="FP19" s="612"/>
      <c r="FQ19" s="612"/>
      <c r="FR19" s="612"/>
      <c r="FS19" s="612"/>
      <c r="FT19" s="612"/>
      <c r="FU19" s="612"/>
      <c r="FV19" s="612"/>
      <c r="FW19" s="612"/>
      <c r="FX19" s="612"/>
      <c r="FY19" s="612"/>
      <c r="FZ19" s="612"/>
      <c r="GA19" s="612"/>
      <c r="GB19" s="612"/>
      <c r="GC19" s="612"/>
      <c r="GD19" s="612"/>
      <c r="GE19" s="612"/>
      <c r="GF19" s="612"/>
      <c r="GG19" s="612"/>
      <c r="GH19" s="612"/>
      <c r="GI19" s="612"/>
      <c r="GJ19" s="612"/>
      <c r="GK19" s="612"/>
      <c r="GL19" s="612"/>
      <c r="GM19" s="612"/>
      <c r="GN19" s="612"/>
      <c r="GO19" s="612"/>
      <c r="GP19" s="612"/>
      <c r="GQ19" s="612"/>
      <c r="GR19" s="612"/>
      <c r="GS19" s="612"/>
      <c r="GT19" s="612"/>
      <c r="GU19" s="612"/>
      <c r="GV19" s="612"/>
      <c r="GW19" s="612"/>
      <c r="GX19" s="612"/>
      <c r="GY19" s="612"/>
      <c r="GZ19" s="612"/>
      <c r="HA19" s="612"/>
      <c r="HB19" s="612"/>
      <c r="HC19" s="612"/>
      <c r="HD19" s="612"/>
      <c r="HE19" s="612"/>
      <c r="HF19" s="612"/>
      <c r="HG19" s="612"/>
      <c r="HH19" s="612"/>
      <c r="HI19" s="612"/>
      <c r="HJ19" s="612"/>
      <c r="HK19" s="612"/>
      <c r="HL19" s="612"/>
      <c r="HM19" s="612"/>
      <c r="HN19" s="612"/>
      <c r="HO19" s="612"/>
      <c r="HP19" s="612"/>
      <c r="HQ19" s="612"/>
      <c r="HR19" s="612"/>
      <c r="HS19" s="612"/>
      <c r="HT19" s="612"/>
      <c r="HU19" s="612"/>
      <c r="HV19" s="612"/>
      <c r="HW19" s="612"/>
      <c r="HX19" s="612"/>
      <c r="HY19" s="612"/>
      <c r="HZ19" s="612"/>
      <c r="IA19" s="612"/>
      <c r="IB19" s="612"/>
      <c r="IC19" s="612"/>
      <c r="ID19" s="612"/>
      <c r="IE19" s="612"/>
      <c r="IF19" s="612"/>
      <c r="IG19" s="612"/>
      <c r="IH19" s="612"/>
      <c r="II19" s="612"/>
      <c r="IJ19" s="612"/>
      <c r="IK19" s="612"/>
      <c r="IL19" s="612"/>
      <c r="IM19" s="612"/>
      <c r="IN19" s="612"/>
      <c r="IO19" s="612"/>
      <c r="IP19" s="612"/>
      <c r="IQ19" s="612"/>
      <c r="IR19" s="612"/>
      <c r="IS19" s="612"/>
      <c r="IT19" s="612"/>
      <c r="IU19" s="612"/>
      <c r="IV19" s="612"/>
      <c r="IW19" s="612"/>
    </row>
    <row r="20" customFormat="false" ht="12.75" hidden="false" customHeight="false" outlineLevel="0" collapsed="false">
      <c r="A20" s="612"/>
      <c r="B20" s="625"/>
      <c r="C20" s="626"/>
      <c r="D20" s="627"/>
      <c r="E20" s="627"/>
      <c r="F20" s="627"/>
      <c r="G20" s="627"/>
      <c r="H20" s="627"/>
      <c r="I20" s="627"/>
      <c r="J20" s="627"/>
      <c r="K20" s="627"/>
      <c r="L20" s="627"/>
      <c r="M20" s="627"/>
      <c r="N20" s="627"/>
      <c r="O20" s="627"/>
      <c r="P20" s="627"/>
      <c r="Q20" s="627"/>
      <c r="R20" s="627"/>
      <c r="S20" s="627"/>
      <c r="T20" s="627"/>
      <c r="U20" s="627"/>
      <c r="V20" s="627"/>
      <c r="W20" s="627"/>
      <c r="X20" s="627"/>
      <c r="Y20" s="627"/>
      <c r="Z20" s="627"/>
      <c r="AA20" s="627"/>
      <c r="AB20" s="627"/>
      <c r="AC20" s="627"/>
      <c r="AD20" s="627"/>
      <c r="AE20" s="627"/>
      <c r="AF20" s="627"/>
      <c r="AG20" s="627"/>
      <c r="AH20" s="627"/>
      <c r="AI20" s="612"/>
      <c r="AJ20" s="612"/>
      <c r="AK20" s="612"/>
      <c r="AL20" s="612"/>
      <c r="AM20" s="612"/>
      <c r="AN20" s="612"/>
      <c r="AO20" s="612"/>
      <c r="AP20" s="612"/>
      <c r="AQ20" s="612"/>
      <c r="AR20" s="612"/>
      <c r="AS20" s="612"/>
      <c r="AT20" s="612"/>
      <c r="AU20" s="612"/>
      <c r="AV20" s="612"/>
      <c r="AW20" s="612"/>
      <c r="AX20" s="612"/>
      <c r="AY20" s="612"/>
      <c r="AZ20" s="612"/>
      <c r="BA20" s="612"/>
      <c r="BB20" s="612"/>
      <c r="BC20" s="612"/>
      <c r="BD20" s="612"/>
      <c r="BE20" s="612"/>
      <c r="BF20" s="612"/>
      <c r="BG20" s="612"/>
      <c r="BH20" s="612"/>
      <c r="BI20" s="612"/>
      <c r="BJ20" s="612"/>
      <c r="BK20" s="612"/>
      <c r="BL20" s="612"/>
      <c r="BM20" s="612"/>
      <c r="BN20" s="612"/>
      <c r="BO20" s="612"/>
      <c r="BP20" s="612"/>
      <c r="BQ20" s="612"/>
      <c r="BR20" s="612"/>
      <c r="BS20" s="612"/>
      <c r="BT20" s="612"/>
      <c r="BU20" s="612"/>
      <c r="BV20" s="612"/>
      <c r="BW20" s="612"/>
      <c r="BX20" s="612"/>
      <c r="BY20" s="612"/>
      <c r="BZ20" s="612"/>
      <c r="CA20" s="612"/>
      <c r="CB20" s="612"/>
      <c r="CC20" s="612"/>
      <c r="CD20" s="612"/>
      <c r="CE20" s="612"/>
      <c r="CF20" s="612"/>
      <c r="CG20" s="612"/>
      <c r="CH20" s="612"/>
      <c r="CI20" s="612"/>
      <c r="CJ20" s="612"/>
      <c r="CK20" s="612"/>
      <c r="CL20" s="612"/>
      <c r="CM20" s="612"/>
      <c r="CN20" s="612"/>
      <c r="CO20" s="612"/>
      <c r="CP20" s="612"/>
      <c r="CQ20" s="612"/>
      <c r="CR20" s="612"/>
      <c r="CS20" s="612"/>
      <c r="CT20" s="612"/>
      <c r="CU20" s="612"/>
      <c r="CV20" s="612"/>
      <c r="CW20" s="612"/>
      <c r="CX20" s="612"/>
      <c r="CY20" s="612"/>
      <c r="CZ20" s="612"/>
      <c r="DA20" s="612"/>
      <c r="DB20" s="612"/>
      <c r="DC20" s="612"/>
      <c r="DD20" s="612"/>
      <c r="DE20" s="612"/>
      <c r="DF20" s="612"/>
      <c r="DG20" s="612"/>
      <c r="DH20" s="612"/>
      <c r="DI20" s="612"/>
      <c r="DJ20" s="612"/>
      <c r="DK20" s="612"/>
      <c r="DL20" s="612"/>
      <c r="DM20" s="612"/>
      <c r="DN20" s="612"/>
      <c r="DO20" s="612"/>
      <c r="DP20" s="612"/>
      <c r="DQ20" s="612"/>
      <c r="DR20" s="612"/>
      <c r="DS20" s="612"/>
      <c r="DT20" s="612"/>
      <c r="DU20" s="612"/>
      <c r="DV20" s="612"/>
      <c r="DW20" s="612"/>
      <c r="DX20" s="612"/>
      <c r="DY20" s="612"/>
      <c r="DZ20" s="612"/>
      <c r="EA20" s="612"/>
      <c r="EB20" s="612"/>
      <c r="EC20" s="612"/>
      <c r="ED20" s="612"/>
      <c r="EE20" s="612"/>
      <c r="EF20" s="612"/>
      <c r="EG20" s="612"/>
      <c r="EH20" s="612"/>
      <c r="EI20" s="612"/>
      <c r="EJ20" s="612"/>
      <c r="EK20" s="612"/>
      <c r="EL20" s="612"/>
      <c r="EM20" s="612"/>
      <c r="EN20" s="612"/>
      <c r="EO20" s="612"/>
      <c r="EP20" s="612"/>
      <c r="EQ20" s="612"/>
      <c r="ER20" s="612"/>
      <c r="ES20" s="612"/>
      <c r="ET20" s="612"/>
      <c r="EU20" s="612"/>
      <c r="EV20" s="612"/>
      <c r="EW20" s="612"/>
      <c r="EX20" s="612"/>
      <c r="EY20" s="612"/>
      <c r="EZ20" s="612"/>
      <c r="FA20" s="612"/>
      <c r="FB20" s="612"/>
      <c r="FC20" s="612"/>
      <c r="FD20" s="612"/>
      <c r="FE20" s="612"/>
      <c r="FF20" s="612"/>
      <c r="FG20" s="612"/>
      <c r="FH20" s="612"/>
      <c r="FI20" s="612"/>
      <c r="FJ20" s="612"/>
      <c r="FK20" s="612"/>
      <c r="FL20" s="612"/>
      <c r="FM20" s="612"/>
      <c r="FN20" s="612"/>
      <c r="FO20" s="612"/>
      <c r="FP20" s="612"/>
      <c r="FQ20" s="612"/>
      <c r="FR20" s="612"/>
      <c r="FS20" s="612"/>
      <c r="FT20" s="612"/>
      <c r="FU20" s="612"/>
      <c r="FV20" s="612"/>
      <c r="FW20" s="612"/>
      <c r="FX20" s="612"/>
      <c r="FY20" s="612"/>
      <c r="FZ20" s="612"/>
      <c r="GA20" s="612"/>
      <c r="GB20" s="612"/>
      <c r="GC20" s="612"/>
      <c r="GD20" s="612"/>
      <c r="GE20" s="612"/>
      <c r="GF20" s="612"/>
      <c r="GG20" s="612"/>
      <c r="GH20" s="612"/>
      <c r="GI20" s="612"/>
      <c r="GJ20" s="612"/>
      <c r="GK20" s="612"/>
      <c r="GL20" s="612"/>
      <c r="GM20" s="612"/>
      <c r="GN20" s="612"/>
      <c r="GO20" s="612"/>
      <c r="GP20" s="612"/>
      <c r="GQ20" s="612"/>
      <c r="GR20" s="612"/>
      <c r="GS20" s="612"/>
      <c r="GT20" s="612"/>
      <c r="GU20" s="612"/>
      <c r="GV20" s="612"/>
      <c r="GW20" s="612"/>
      <c r="GX20" s="612"/>
      <c r="GY20" s="612"/>
      <c r="GZ20" s="612"/>
      <c r="HA20" s="612"/>
      <c r="HB20" s="612"/>
      <c r="HC20" s="612"/>
      <c r="HD20" s="612"/>
      <c r="HE20" s="612"/>
      <c r="HF20" s="612"/>
      <c r="HG20" s="612"/>
      <c r="HH20" s="612"/>
      <c r="HI20" s="612"/>
      <c r="HJ20" s="612"/>
      <c r="HK20" s="612"/>
      <c r="HL20" s="612"/>
      <c r="HM20" s="612"/>
      <c r="HN20" s="612"/>
      <c r="HO20" s="612"/>
      <c r="HP20" s="612"/>
      <c r="HQ20" s="612"/>
      <c r="HR20" s="612"/>
      <c r="HS20" s="612"/>
      <c r="HT20" s="612"/>
      <c r="HU20" s="612"/>
      <c r="HV20" s="612"/>
      <c r="HW20" s="612"/>
      <c r="HX20" s="612"/>
      <c r="HY20" s="612"/>
      <c r="HZ20" s="612"/>
      <c r="IA20" s="612"/>
      <c r="IB20" s="612"/>
      <c r="IC20" s="612"/>
      <c r="ID20" s="612"/>
      <c r="IE20" s="612"/>
      <c r="IF20" s="612"/>
      <c r="IG20" s="612"/>
      <c r="IH20" s="612"/>
      <c r="II20" s="612"/>
      <c r="IJ20" s="612"/>
      <c r="IK20" s="612"/>
      <c r="IL20" s="612"/>
      <c r="IM20" s="612"/>
      <c r="IN20" s="612"/>
      <c r="IO20" s="612"/>
      <c r="IP20" s="612"/>
      <c r="IQ20" s="612"/>
      <c r="IR20" s="612"/>
      <c r="IS20" s="612"/>
      <c r="IT20" s="612"/>
      <c r="IU20" s="612"/>
      <c r="IV20" s="612"/>
      <c r="IW20" s="612"/>
    </row>
    <row r="21" customFormat="false" ht="12.75" hidden="false" customHeight="false" outlineLevel="0" collapsed="false">
      <c r="A21" s="1" t="s">
        <v>409</v>
      </c>
      <c r="B21" s="625" t="n">
        <f aca="false">B19</f>
        <v>127515.782155181</v>
      </c>
      <c r="C21" s="626"/>
      <c r="D21" s="627" t="n">
        <f aca="false">B19-D19</f>
        <v>121154.910855641</v>
      </c>
      <c r="E21" s="627" t="n">
        <f aca="false">D21-E19</f>
        <v>109081.411550899</v>
      </c>
      <c r="F21" s="627" t="n">
        <f aca="false">E21-F19</f>
        <v>98210.7621766312</v>
      </c>
      <c r="G21" s="627" t="n">
        <f aca="false">F21-G19</f>
        <v>88416.3469506822</v>
      </c>
      <c r="H21" s="627" t="n">
        <f aca="false">G21-H19</f>
        <v>79596.8732473281</v>
      </c>
      <c r="I21" s="627" t="n">
        <f aca="false">H21-I19</f>
        <v>71663.7100190604</v>
      </c>
      <c r="J21" s="627" t="n">
        <f aca="false">I21-J19</f>
        <v>64148.3788719047</v>
      </c>
      <c r="K21" s="627" t="n">
        <f aca="false">J21-K19</f>
        <v>56620.3861465334</v>
      </c>
      <c r="L21" s="627" t="n">
        <f aca="false">K21-L19</f>
        <v>49105.0549993777</v>
      </c>
      <c r="M21" s="627" t="n">
        <f aca="false">L21-M19</f>
        <v>41577.0622740065</v>
      </c>
      <c r="N21" s="627" t="n">
        <f aca="false">M21-N19</f>
        <v>34061.7311268508</v>
      </c>
      <c r="O21" s="627" t="n">
        <f aca="false">N21-O19</f>
        <v>26533.7384014796</v>
      </c>
      <c r="P21" s="627" t="n">
        <f aca="false">O21-P19</f>
        <v>19018.4072543239</v>
      </c>
      <c r="Q21" s="627" t="n">
        <f aca="false">P21-Q19</f>
        <v>11490.4145289527</v>
      </c>
      <c r="R21" s="627" t="n">
        <f aca="false">Q21-R19</f>
        <v>3975.08338179702</v>
      </c>
      <c r="S21" s="627" t="n">
        <f aca="false">R21-S19</f>
        <v>194.917808219173</v>
      </c>
      <c r="T21" s="627" t="n">
        <f aca="false">S21-T19</f>
        <v>149.917808219173</v>
      </c>
      <c r="U21" s="627" t="n">
        <f aca="false">T21-U19</f>
        <v>104.917808219173</v>
      </c>
      <c r="V21" s="627" t="n">
        <f aca="false">U21-V19</f>
        <v>59.9178082191734</v>
      </c>
      <c r="W21" s="627" t="n">
        <f aca="false">V21-W19</f>
        <v>14.9178082191734</v>
      </c>
      <c r="X21" s="627" t="n">
        <f aca="false">W21-X19</f>
        <v>14.9178082191734</v>
      </c>
      <c r="Y21" s="627" t="n">
        <f aca="false">X21-Y19</f>
        <v>14.9178082191734</v>
      </c>
      <c r="Z21" s="627" t="n">
        <f aca="false">Y21-Z19</f>
        <v>14.9178082191734</v>
      </c>
      <c r="AA21" s="627" t="n">
        <f aca="false">Z21-AA19</f>
        <v>14.9178082191734</v>
      </c>
      <c r="AB21" s="627" t="n">
        <f aca="false">AA21-AB19</f>
        <v>14.9178082191734</v>
      </c>
      <c r="AC21" s="627" t="n">
        <f aca="false">AB21-AC19</f>
        <v>14.9178082191734</v>
      </c>
      <c r="AD21" s="627" t="n">
        <f aca="false">AC21-AD19</f>
        <v>14.9178082191734</v>
      </c>
      <c r="AE21" s="627" t="n">
        <f aca="false">AD21-AE19</f>
        <v>14.9178082191734</v>
      </c>
      <c r="AF21" s="627" t="n">
        <f aca="false">AE21-AF19</f>
        <v>14.9178082191734</v>
      </c>
      <c r="AG21" s="627" t="n">
        <f aca="false">AF21-AG19</f>
        <v>14.9178082191734</v>
      </c>
      <c r="AH21" s="627" t="n">
        <f aca="false">AG21-AH19</f>
        <v>14.9178082191734</v>
      </c>
      <c r="AI21" s="612"/>
      <c r="AJ21" s="612"/>
      <c r="AK21" s="612"/>
      <c r="AL21" s="612"/>
      <c r="AM21" s="612"/>
      <c r="AN21" s="612"/>
      <c r="AO21" s="612"/>
      <c r="AP21" s="612"/>
      <c r="AQ21" s="612"/>
      <c r="AR21" s="612"/>
      <c r="AS21" s="612"/>
      <c r="AT21" s="612"/>
      <c r="AU21" s="612"/>
      <c r="AV21" s="612"/>
      <c r="AW21" s="612"/>
      <c r="AX21" s="612"/>
      <c r="AY21" s="612"/>
      <c r="AZ21" s="612"/>
      <c r="BA21" s="612"/>
      <c r="BB21" s="612"/>
      <c r="BC21" s="612"/>
      <c r="BD21" s="612"/>
      <c r="BE21" s="612"/>
      <c r="BF21" s="612"/>
      <c r="BG21" s="612"/>
      <c r="BH21" s="612"/>
      <c r="BI21" s="612"/>
      <c r="BJ21" s="612"/>
      <c r="BK21" s="612"/>
      <c r="BL21" s="612"/>
      <c r="BM21" s="612"/>
      <c r="BN21" s="612"/>
      <c r="BO21" s="612"/>
      <c r="BP21" s="612"/>
      <c r="BQ21" s="612"/>
      <c r="BR21" s="612"/>
      <c r="BS21" s="612"/>
      <c r="BT21" s="612"/>
      <c r="BU21" s="612"/>
      <c r="BV21" s="612"/>
      <c r="BW21" s="612"/>
      <c r="BX21" s="612"/>
      <c r="BY21" s="612"/>
      <c r="BZ21" s="612"/>
      <c r="CA21" s="612"/>
      <c r="CB21" s="612"/>
      <c r="CC21" s="612"/>
      <c r="CD21" s="612"/>
      <c r="CE21" s="612"/>
      <c r="CF21" s="612"/>
      <c r="CG21" s="612"/>
      <c r="CH21" s="612"/>
      <c r="CI21" s="612"/>
      <c r="CJ21" s="612"/>
      <c r="CK21" s="612"/>
      <c r="CL21" s="612"/>
      <c r="CM21" s="612"/>
      <c r="CN21" s="612"/>
      <c r="CO21" s="612"/>
      <c r="CP21" s="612"/>
      <c r="CQ21" s="612"/>
      <c r="CR21" s="612"/>
      <c r="CS21" s="612"/>
      <c r="CT21" s="612"/>
      <c r="CU21" s="612"/>
      <c r="CV21" s="612"/>
      <c r="CW21" s="612"/>
      <c r="CX21" s="612"/>
      <c r="CY21" s="612"/>
      <c r="CZ21" s="612"/>
      <c r="DA21" s="612"/>
      <c r="DB21" s="612"/>
      <c r="DC21" s="612"/>
      <c r="DD21" s="612"/>
      <c r="DE21" s="612"/>
      <c r="DF21" s="612"/>
      <c r="DG21" s="612"/>
      <c r="DH21" s="612"/>
      <c r="DI21" s="612"/>
      <c r="DJ21" s="612"/>
      <c r="DK21" s="612"/>
      <c r="DL21" s="612"/>
      <c r="DM21" s="612"/>
      <c r="DN21" s="612"/>
      <c r="DO21" s="612"/>
      <c r="DP21" s="612"/>
      <c r="DQ21" s="612"/>
      <c r="DR21" s="612"/>
      <c r="DS21" s="612"/>
      <c r="DT21" s="612"/>
      <c r="DU21" s="612"/>
      <c r="DV21" s="612"/>
      <c r="DW21" s="612"/>
      <c r="DX21" s="612"/>
      <c r="DY21" s="612"/>
      <c r="DZ21" s="612"/>
      <c r="EA21" s="612"/>
      <c r="EB21" s="612"/>
      <c r="EC21" s="612"/>
      <c r="ED21" s="612"/>
      <c r="EE21" s="612"/>
      <c r="EF21" s="612"/>
      <c r="EG21" s="612"/>
      <c r="EH21" s="612"/>
      <c r="EI21" s="612"/>
      <c r="EJ21" s="612"/>
      <c r="EK21" s="612"/>
      <c r="EL21" s="612"/>
      <c r="EM21" s="612"/>
      <c r="EN21" s="612"/>
      <c r="EO21" s="612"/>
      <c r="EP21" s="612"/>
      <c r="EQ21" s="612"/>
      <c r="ER21" s="612"/>
      <c r="ES21" s="612"/>
      <c r="ET21" s="612"/>
      <c r="EU21" s="612"/>
      <c r="EV21" s="612"/>
      <c r="EW21" s="612"/>
      <c r="EX21" s="612"/>
      <c r="EY21" s="612"/>
      <c r="EZ21" s="612"/>
      <c r="FA21" s="612"/>
      <c r="FB21" s="612"/>
      <c r="FC21" s="612"/>
      <c r="FD21" s="612"/>
      <c r="FE21" s="612"/>
      <c r="FF21" s="612"/>
      <c r="FG21" s="612"/>
      <c r="FH21" s="612"/>
      <c r="FI21" s="612"/>
      <c r="FJ21" s="612"/>
      <c r="FK21" s="612"/>
      <c r="FL21" s="612"/>
      <c r="FM21" s="612"/>
      <c r="FN21" s="612"/>
      <c r="FO21" s="612"/>
      <c r="FP21" s="612"/>
      <c r="FQ21" s="612"/>
      <c r="FR21" s="612"/>
      <c r="FS21" s="612"/>
      <c r="FT21" s="612"/>
      <c r="FU21" s="612"/>
      <c r="FV21" s="612"/>
      <c r="FW21" s="612"/>
      <c r="FX21" s="612"/>
      <c r="FY21" s="612"/>
      <c r="FZ21" s="612"/>
      <c r="GA21" s="612"/>
      <c r="GB21" s="612"/>
      <c r="GC21" s="612"/>
      <c r="GD21" s="612"/>
      <c r="GE21" s="612"/>
      <c r="GF21" s="612"/>
      <c r="GG21" s="612"/>
      <c r="GH21" s="612"/>
      <c r="GI21" s="612"/>
      <c r="GJ21" s="612"/>
      <c r="GK21" s="612"/>
      <c r="GL21" s="612"/>
      <c r="GM21" s="612"/>
      <c r="GN21" s="612"/>
      <c r="GO21" s="612"/>
      <c r="GP21" s="612"/>
      <c r="GQ21" s="612"/>
      <c r="GR21" s="612"/>
      <c r="GS21" s="612"/>
      <c r="GT21" s="612"/>
      <c r="GU21" s="612"/>
      <c r="GV21" s="612"/>
      <c r="GW21" s="612"/>
      <c r="GX21" s="612"/>
      <c r="GY21" s="612"/>
      <c r="GZ21" s="612"/>
      <c r="HA21" s="612"/>
      <c r="HB21" s="612"/>
      <c r="HC21" s="612"/>
      <c r="HD21" s="612"/>
      <c r="HE21" s="612"/>
      <c r="HF21" s="612"/>
      <c r="HG21" s="612"/>
      <c r="HH21" s="612"/>
      <c r="HI21" s="612"/>
      <c r="HJ21" s="612"/>
      <c r="HK21" s="612"/>
      <c r="HL21" s="612"/>
      <c r="HM21" s="612"/>
      <c r="HN21" s="612"/>
      <c r="HO21" s="612"/>
      <c r="HP21" s="612"/>
      <c r="HQ21" s="612"/>
      <c r="HR21" s="612"/>
      <c r="HS21" s="612"/>
      <c r="HT21" s="612"/>
      <c r="HU21" s="612"/>
      <c r="HV21" s="612"/>
      <c r="HW21" s="612"/>
      <c r="HX21" s="612"/>
      <c r="HY21" s="612"/>
      <c r="HZ21" s="612"/>
      <c r="IA21" s="612"/>
      <c r="IB21" s="612"/>
      <c r="IC21" s="612"/>
      <c r="ID21" s="612"/>
      <c r="IE21" s="612"/>
      <c r="IF21" s="612"/>
      <c r="IG21" s="612"/>
      <c r="IH21" s="612"/>
      <c r="II21" s="612"/>
      <c r="IJ21" s="612"/>
      <c r="IK21" s="612"/>
      <c r="IL21" s="612"/>
      <c r="IM21" s="612"/>
      <c r="IN21" s="612"/>
      <c r="IO21" s="612"/>
      <c r="IP21" s="612"/>
      <c r="IQ21" s="612"/>
      <c r="IR21" s="612"/>
      <c r="IS21" s="612"/>
      <c r="IT21" s="612"/>
      <c r="IU21" s="612"/>
      <c r="IV21" s="612"/>
      <c r="IW21" s="612"/>
    </row>
    <row r="22" customFormat="false" ht="12.75" hidden="false" customHeight="false" outlineLevel="0" collapsed="false">
      <c r="A22" s="631"/>
      <c r="B22" s="580"/>
      <c r="C22" s="632"/>
      <c r="AI22" s="612"/>
      <c r="AJ22" s="612"/>
      <c r="AK22" s="612"/>
      <c r="AL22" s="612"/>
      <c r="AM22" s="612"/>
      <c r="AN22" s="612"/>
      <c r="AO22" s="612"/>
      <c r="AP22" s="612"/>
      <c r="AQ22" s="612"/>
      <c r="AR22" s="612"/>
      <c r="AS22" s="612"/>
      <c r="AT22" s="612"/>
      <c r="AU22" s="612"/>
      <c r="AV22" s="612"/>
      <c r="AW22" s="612"/>
      <c r="AX22" s="612"/>
      <c r="AY22" s="612"/>
      <c r="AZ22" s="612"/>
      <c r="BA22" s="612"/>
      <c r="BB22" s="612"/>
      <c r="BC22" s="612"/>
      <c r="BD22" s="612"/>
      <c r="BE22" s="612"/>
      <c r="BF22" s="612"/>
      <c r="BG22" s="612"/>
      <c r="BH22" s="612"/>
      <c r="BI22" s="612"/>
      <c r="BJ22" s="612"/>
      <c r="BK22" s="612"/>
      <c r="BL22" s="612"/>
      <c r="BM22" s="612"/>
      <c r="BN22" s="612"/>
      <c r="BO22" s="612"/>
      <c r="BP22" s="612"/>
      <c r="BQ22" s="612"/>
      <c r="BR22" s="612"/>
      <c r="BS22" s="612"/>
      <c r="BT22" s="612"/>
      <c r="BU22" s="612"/>
      <c r="BV22" s="612"/>
      <c r="BW22" s="612"/>
      <c r="BX22" s="612"/>
      <c r="BY22" s="612"/>
      <c r="BZ22" s="612"/>
      <c r="CA22" s="612"/>
      <c r="CB22" s="612"/>
      <c r="CC22" s="612"/>
      <c r="CD22" s="612"/>
      <c r="CE22" s="612"/>
      <c r="CF22" s="612"/>
      <c r="CG22" s="612"/>
      <c r="CH22" s="612"/>
      <c r="CI22" s="612"/>
      <c r="CJ22" s="612"/>
      <c r="CK22" s="612"/>
      <c r="CL22" s="612"/>
      <c r="CM22" s="612"/>
      <c r="CN22" s="612"/>
      <c r="CO22" s="612"/>
      <c r="CP22" s="612"/>
      <c r="CQ22" s="612"/>
      <c r="CR22" s="612"/>
      <c r="CS22" s="612"/>
      <c r="CT22" s="612"/>
      <c r="CU22" s="612"/>
      <c r="CV22" s="612"/>
      <c r="CW22" s="612"/>
      <c r="CX22" s="612"/>
      <c r="CY22" s="612"/>
      <c r="CZ22" s="612"/>
      <c r="DA22" s="612"/>
      <c r="DB22" s="612"/>
      <c r="DC22" s="612"/>
      <c r="DD22" s="612"/>
      <c r="DE22" s="612"/>
      <c r="DF22" s="612"/>
      <c r="DG22" s="612"/>
      <c r="DH22" s="612"/>
      <c r="DI22" s="612"/>
      <c r="DJ22" s="612"/>
      <c r="DK22" s="612"/>
      <c r="DL22" s="612"/>
      <c r="DM22" s="612"/>
      <c r="DN22" s="612"/>
      <c r="DO22" s="612"/>
      <c r="DP22" s="612"/>
      <c r="DQ22" s="612"/>
      <c r="DR22" s="612"/>
      <c r="DS22" s="612"/>
      <c r="DT22" s="612"/>
      <c r="DU22" s="612"/>
      <c r="DV22" s="612"/>
      <c r="DW22" s="612"/>
      <c r="DX22" s="612"/>
      <c r="DY22" s="612"/>
      <c r="DZ22" s="612"/>
      <c r="EA22" s="612"/>
      <c r="EB22" s="612"/>
      <c r="EC22" s="612"/>
      <c r="ED22" s="612"/>
      <c r="EE22" s="612"/>
      <c r="EF22" s="612"/>
      <c r="EG22" s="612"/>
      <c r="EH22" s="612"/>
      <c r="EI22" s="612"/>
      <c r="EJ22" s="612"/>
      <c r="EK22" s="612"/>
      <c r="EL22" s="612"/>
      <c r="EM22" s="612"/>
      <c r="EN22" s="612"/>
      <c r="EO22" s="612"/>
      <c r="EP22" s="612"/>
      <c r="EQ22" s="612"/>
      <c r="ER22" s="612"/>
      <c r="ES22" s="612"/>
      <c r="ET22" s="612"/>
      <c r="EU22" s="612"/>
      <c r="EV22" s="612"/>
      <c r="EW22" s="612"/>
      <c r="EX22" s="612"/>
      <c r="EY22" s="612"/>
      <c r="EZ22" s="612"/>
      <c r="FA22" s="612"/>
      <c r="FB22" s="612"/>
      <c r="FC22" s="612"/>
      <c r="FD22" s="612"/>
      <c r="FE22" s="612"/>
      <c r="FF22" s="612"/>
      <c r="FG22" s="612"/>
      <c r="FH22" s="612"/>
      <c r="FI22" s="612"/>
      <c r="FJ22" s="612"/>
      <c r="FK22" s="612"/>
      <c r="FL22" s="612"/>
      <c r="FM22" s="612"/>
      <c r="FN22" s="612"/>
      <c r="FO22" s="612"/>
      <c r="FP22" s="612"/>
      <c r="FQ22" s="612"/>
      <c r="FR22" s="612"/>
      <c r="FS22" s="612"/>
      <c r="FT22" s="612"/>
      <c r="FU22" s="612"/>
      <c r="FV22" s="612"/>
      <c r="FW22" s="612"/>
      <c r="FX22" s="612"/>
      <c r="FY22" s="612"/>
      <c r="FZ22" s="612"/>
      <c r="GA22" s="612"/>
      <c r="GB22" s="612"/>
      <c r="GC22" s="612"/>
      <c r="GD22" s="612"/>
      <c r="GE22" s="612"/>
      <c r="GF22" s="612"/>
      <c r="GG22" s="612"/>
      <c r="GH22" s="612"/>
      <c r="GI22" s="612"/>
      <c r="GJ22" s="612"/>
      <c r="GK22" s="612"/>
      <c r="GL22" s="612"/>
      <c r="GM22" s="612"/>
      <c r="GN22" s="612"/>
      <c r="GO22" s="612"/>
      <c r="GP22" s="612"/>
      <c r="GQ22" s="612"/>
      <c r="GR22" s="612"/>
      <c r="GS22" s="612"/>
      <c r="GT22" s="612"/>
      <c r="GU22" s="612"/>
      <c r="GV22" s="612"/>
      <c r="GW22" s="612"/>
      <c r="GX22" s="612"/>
      <c r="GY22" s="612"/>
      <c r="GZ22" s="612"/>
      <c r="HA22" s="612"/>
      <c r="HB22" s="612"/>
      <c r="HC22" s="612"/>
      <c r="HD22" s="612"/>
      <c r="HE22" s="612"/>
      <c r="HF22" s="612"/>
      <c r="HG22" s="612"/>
      <c r="HH22" s="612"/>
      <c r="HI22" s="612"/>
      <c r="HJ22" s="612"/>
      <c r="HK22" s="612"/>
      <c r="HL22" s="612"/>
      <c r="HM22" s="612"/>
      <c r="HN22" s="612"/>
      <c r="HO22" s="612"/>
      <c r="HP22" s="612"/>
      <c r="HQ22" s="612"/>
      <c r="HR22" s="612"/>
      <c r="HS22" s="612"/>
      <c r="HT22" s="612"/>
      <c r="HU22" s="612"/>
      <c r="HV22" s="612"/>
      <c r="HW22" s="612"/>
      <c r="HX22" s="612"/>
      <c r="HY22" s="612"/>
      <c r="HZ22" s="612"/>
      <c r="IA22" s="612"/>
      <c r="IB22" s="612"/>
      <c r="IC22" s="612"/>
      <c r="ID22" s="612"/>
      <c r="IE22" s="612"/>
      <c r="IF22" s="612"/>
      <c r="IG22" s="612"/>
      <c r="IH22" s="612"/>
      <c r="II22" s="612"/>
      <c r="IJ22" s="612"/>
      <c r="IK22" s="612"/>
      <c r="IL22" s="612"/>
      <c r="IM22" s="612"/>
      <c r="IN22" s="612"/>
      <c r="IO22" s="612"/>
      <c r="IP22" s="612"/>
      <c r="IQ22" s="612"/>
      <c r="IR22" s="612"/>
      <c r="IS22" s="612"/>
      <c r="IT22" s="612"/>
      <c r="IU22" s="612"/>
      <c r="IV22" s="612"/>
      <c r="IW22" s="612"/>
    </row>
    <row r="23" customFormat="false" ht="12.75" hidden="false" customHeight="false" outlineLevel="0" collapsed="false">
      <c r="A23" s="609" t="s">
        <v>410</v>
      </c>
      <c r="B23" s="633"/>
      <c r="D23" s="334"/>
      <c r="E23" s="334"/>
      <c r="F23" s="334"/>
      <c r="G23" s="334"/>
      <c r="H23" s="334"/>
      <c r="I23" s="334"/>
      <c r="J23" s="334"/>
      <c r="K23" s="334"/>
      <c r="L23" s="334"/>
      <c r="M23" s="334"/>
      <c r="N23" s="334"/>
      <c r="O23" s="334"/>
      <c r="P23" s="334"/>
      <c r="Q23" s="334"/>
      <c r="R23" s="334"/>
      <c r="S23" s="334"/>
      <c r="T23" s="334"/>
      <c r="U23" s="334"/>
      <c r="V23" s="334"/>
      <c r="W23" s="334"/>
      <c r="X23" s="334"/>
      <c r="Y23" s="334"/>
      <c r="Z23" s="334"/>
      <c r="AA23" s="334"/>
      <c r="AB23" s="334"/>
      <c r="AC23" s="334"/>
      <c r="AD23" s="334"/>
      <c r="AE23" s="334"/>
      <c r="AF23" s="334"/>
      <c r="AG23" s="334"/>
      <c r="AH23" s="334"/>
      <c r="AI23" s="612"/>
      <c r="AJ23" s="612"/>
      <c r="AK23" s="612"/>
      <c r="AL23" s="612"/>
      <c r="AM23" s="612"/>
      <c r="AN23" s="612"/>
      <c r="AO23" s="612"/>
      <c r="AP23" s="612"/>
      <c r="AQ23" s="612"/>
      <c r="AR23" s="612"/>
      <c r="AS23" s="612"/>
      <c r="AT23" s="612"/>
      <c r="AU23" s="612"/>
      <c r="AV23" s="612"/>
      <c r="AW23" s="612"/>
      <c r="AX23" s="612"/>
      <c r="AY23" s="612"/>
      <c r="AZ23" s="612"/>
      <c r="BA23" s="612"/>
      <c r="BB23" s="612"/>
      <c r="BC23" s="612"/>
      <c r="BD23" s="612"/>
      <c r="BE23" s="612"/>
      <c r="BF23" s="612"/>
      <c r="BG23" s="612"/>
      <c r="BH23" s="612"/>
      <c r="BI23" s="612"/>
      <c r="BJ23" s="612"/>
      <c r="BK23" s="612"/>
      <c r="BL23" s="612"/>
      <c r="BM23" s="612"/>
      <c r="BN23" s="612"/>
      <c r="BO23" s="612"/>
      <c r="BP23" s="612"/>
      <c r="BQ23" s="612"/>
      <c r="BR23" s="612"/>
      <c r="BS23" s="612"/>
      <c r="BT23" s="612"/>
      <c r="BU23" s="612"/>
      <c r="BV23" s="612"/>
      <c r="BW23" s="612"/>
      <c r="BX23" s="612"/>
      <c r="BY23" s="612"/>
      <c r="BZ23" s="612"/>
      <c r="CA23" s="612"/>
      <c r="CB23" s="612"/>
      <c r="CC23" s="612"/>
      <c r="CD23" s="612"/>
      <c r="CE23" s="612"/>
      <c r="CF23" s="612"/>
      <c r="CG23" s="612"/>
      <c r="CH23" s="612"/>
      <c r="CI23" s="612"/>
      <c r="CJ23" s="612"/>
      <c r="CK23" s="612"/>
      <c r="CL23" s="612"/>
      <c r="CM23" s="612"/>
      <c r="CN23" s="612"/>
      <c r="CO23" s="612"/>
      <c r="CP23" s="612"/>
      <c r="CQ23" s="612"/>
      <c r="CR23" s="612"/>
      <c r="CS23" s="612"/>
      <c r="CT23" s="612"/>
      <c r="CU23" s="612"/>
      <c r="CV23" s="612"/>
      <c r="CW23" s="612"/>
      <c r="CX23" s="612"/>
      <c r="CY23" s="612"/>
      <c r="CZ23" s="612"/>
      <c r="DA23" s="612"/>
      <c r="DB23" s="612"/>
      <c r="DC23" s="612"/>
      <c r="DD23" s="612"/>
      <c r="DE23" s="612"/>
      <c r="DF23" s="612"/>
      <c r="DG23" s="612"/>
      <c r="DH23" s="612"/>
      <c r="DI23" s="612"/>
      <c r="DJ23" s="612"/>
      <c r="DK23" s="612"/>
      <c r="DL23" s="612"/>
      <c r="DM23" s="612"/>
      <c r="DN23" s="612"/>
      <c r="DO23" s="612"/>
      <c r="DP23" s="612"/>
      <c r="DQ23" s="612"/>
      <c r="DR23" s="612"/>
      <c r="DS23" s="612"/>
      <c r="DT23" s="612"/>
      <c r="DU23" s="612"/>
      <c r="DV23" s="612"/>
      <c r="DW23" s="612"/>
      <c r="DX23" s="612"/>
      <c r="DY23" s="612"/>
      <c r="DZ23" s="612"/>
      <c r="EA23" s="612"/>
      <c r="EB23" s="612"/>
      <c r="EC23" s="612"/>
      <c r="ED23" s="612"/>
      <c r="EE23" s="612"/>
      <c r="EF23" s="612"/>
      <c r="EG23" s="612"/>
      <c r="EH23" s="612"/>
      <c r="EI23" s="612"/>
      <c r="EJ23" s="612"/>
      <c r="EK23" s="612"/>
      <c r="EL23" s="612"/>
      <c r="EM23" s="612"/>
      <c r="EN23" s="612"/>
      <c r="EO23" s="612"/>
      <c r="EP23" s="612"/>
      <c r="EQ23" s="612"/>
      <c r="ER23" s="612"/>
      <c r="ES23" s="612"/>
      <c r="ET23" s="612"/>
      <c r="EU23" s="612"/>
      <c r="EV23" s="612"/>
      <c r="EW23" s="612"/>
      <c r="EX23" s="612"/>
      <c r="EY23" s="612"/>
      <c r="EZ23" s="612"/>
      <c r="FA23" s="612"/>
      <c r="FB23" s="612"/>
      <c r="FC23" s="612"/>
      <c r="FD23" s="612"/>
      <c r="FE23" s="612"/>
      <c r="FF23" s="612"/>
      <c r="FG23" s="612"/>
      <c r="FH23" s="612"/>
      <c r="FI23" s="612"/>
      <c r="FJ23" s="612"/>
      <c r="FK23" s="612"/>
      <c r="FL23" s="612"/>
      <c r="FM23" s="612"/>
      <c r="FN23" s="612"/>
      <c r="FO23" s="612"/>
      <c r="FP23" s="612"/>
      <c r="FQ23" s="612"/>
      <c r="FR23" s="612"/>
      <c r="FS23" s="612"/>
      <c r="FT23" s="612"/>
      <c r="FU23" s="612"/>
      <c r="FV23" s="612"/>
      <c r="FW23" s="612"/>
      <c r="FX23" s="612"/>
      <c r="FY23" s="612"/>
      <c r="FZ23" s="612"/>
      <c r="GA23" s="612"/>
      <c r="GB23" s="612"/>
      <c r="GC23" s="612"/>
      <c r="GD23" s="612"/>
      <c r="GE23" s="612"/>
      <c r="GF23" s="612"/>
      <c r="GG23" s="612"/>
      <c r="GH23" s="612"/>
      <c r="GI23" s="612"/>
      <c r="GJ23" s="612"/>
      <c r="GK23" s="612"/>
      <c r="GL23" s="612"/>
      <c r="GM23" s="612"/>
      <c r="GN23" s="612"/>
      <c r="GO23" s="612"/>
      <c r="GP23" s="612"/>
      <c r="GQ23" s="612"/>
      <c r="GR23" s="612"/>
      <c r="GS23" s="612"/>
      <c r="GT23" s="612"/>
      <c r="GU23" s="612"/>
      <c r="GV23" s="612"/>
      <c r="GW23" s="612"/>
      <c r="GX23" s="612"/>
      <c r="GY23" s="612"/>
      <c r="GZ23" s="612"/>
      <c r="HA23" s="612"/>
      <c r="HB23" s="612"/>
      <c r="HC23" s="612"/>
      <c r="HD23" s="612"/>
      <c r="HE23" s="612"/>
      <c r="HF23" s="612"/>
      <c r="HG23" s="612"/>
      <c r="HH23" s="612"/>
      <c r="HI23" s="612"/>
      <c r="HJ23" s="612"/>
      <c r="HK23" s="612"/>
      <c r="HL23" s="612"/>
      <c r="HM23" s="612"/>
      <c r="HN23" s="612"/>
      <c r="HO23" s="612"/>
      <c r="HP23" s="612"/>
      <c r="HQ23" s="612"/>
      <c r="HR23" s="612"/>
      <c r="HS23" s="612"/>
      <c r="HT23" s="612"/>
      <c r="HU23" s="612"/>
      <c r="HV23" s="612"/>
      <c r="HW23" s="612"/>
      <c r="HX23" s="612"/>
      <c r="HY23" s="612"/>
      <c r="HZ23" s="612"/>
      <c r="IA23" s="612"/>
      <c r="IB23" s="612"/>
      <c r="IC23" s="612"/>
      <c r="ID23" s="612"/>
      <c r="IE23" s="612"/>
      <c r="IF23" s="612"/>
      <c r="IG23" s="612"/>
      <c r="IH23" s="612"/>
      <c r="II23" s="612"/>
      <c r="IJ23" s="612"/>
      <c r="IK23" s="612"/>
      <c r="IL23" s="612"/>
      <c r="IM23" s="612"/>
      <c r="IN23" s="612"/>
      <c r="IO23" s="612"/>
      <c r="IP23" s="612"/>
      <c r="IQ23" s="612"/>
      <c r="IR23" s="612"/>
      <c r="IS23" s="612"/>
      <c r="IT23" s="612"/>
      <c r="IU23" s="612"/>
      <c r="IV23" s="612"/>
      <c r="IW23" s="612"/>
    </row>
    <row r="24" customFormat="false" ht="12.75" hidden="false" customHeight="false" outlineLevel="0" collapsed="false">
      <c r="A24" s="609"/>
      <c r="B24" s="613" t="s">
        <v>404</v>
      </c>
      <c r="D24" s="334"/>
      <c r="E24" s="334"/>
      <c r="F24" s="334"/>
      <c r="G24" s="334"/>
      <c r="H24" s="334"/>
      <c r="I24" s="334"/>
      <c r="J24" s="334"/>
      <c r="K24" s="334"/>
      <c r="L24" s="334"/>
      <c r="M24" s="334"/>
      <c r="N24" s="334"/>
      <c r="O24" s="334"/>
      <c r="P24" s="334"/>
      <c r="Q24" s="334"/>
      <c r="R24" s="334"/>
      <c r="S24" s="334"/>
      <c r="T24" s="334"/>
      <c r="U24" s="334"/>
      <c r="V24" s="334"/>
      <c r="W24" s="334"/>
      <c r="X24" s="334"/>
      <c r="Y24" s="334"/>
      <c r="Z24" s="334"/>
      <c r="AA24" s="334"/>
      <c r="AB24" s="334"/>
      <c r="AC24" s="334"/>
      <c r="AD24" s="334"/>
      <c r="AE24" s="334"/>
      <c r="AF24" s="334"/>
      <c r="AG24" s="334"/>
      <c r="AH24" s="334"/>
      <c r="AI24" s="612"/>
      <c r="AJ24" s="612"/>
      <c r="AK24" s="612"/>
      <c r="AL24" s="612"/>
      <c r="AM24" s="612"/>
      <c r="AN24" s="612"/>
      <c r="AO24" s="612"/>
      <c r="AP24" s="612"/>
      <c r="AQ24" s="612"/>
      <c r="AR24" s="612"/>
      <c r="AS24" s="612"/>
      <c r="AT24" s="612"/>
      <c r="AU24" s="612"/>
      <c r="AV24" s="612"/>
      <c r="AW24" s="612"/>
      <c r="AX24" s="612"/>
      <c r="AY24" s="612"/>
      <c r="AZ24" s="612"/>
      <c r="BA24" s="612"/>
      <c r="BB24" s="612"/>
      <c r="BC24" s="612"/>
      <c r="BD24" s="612"/>
      <c r="BE24" s="612"/>
      <c r="BF24" s="612"/>
      <c r="BG24" s="612"/>
      <c r="BH24" s="612"/>
      <c r="BI24" s="612"/>
      <c r="BJ24" s="612"/>
      <c r="BK24" s="612"/>
      <c r="BL24" s="612"/>
      <c r="BM24" s="612"/>
      <c r="BN24" s="612"/>
      <c r="BO24" s="612"/>
      <c r="BP24" s="612"/>
      <c r="BQ24" s="612"/>
      <c r="BR24" s="612"/>
      <c r="BS24" s="612"/>
      <c r="BT24" s="612"/>
      <c r="BU24" s="612"/>
      <c r="BV24" s="612"/>
      <c r="BW24" s="612"/>
      <c r="BX24" s="612"/>
      <c r="BY24" s="612"/>
      <c r="BZ24" s="612"/>
      <c r="CA24" s="612"/>
      <c r="CB24" s="612"/>
      <c r="CC24" s="612"/>
      <c r="CD24" s="612"/>
      <c r="CE24" s="612"/>
      <c r="CF24" s="612"/>
      <c r="CG24" s="612"/>
      <c r="CH24" s="612"/>
      <c r="CI24" s="612"/>
      <c r="CJ24" s="612"/>
      <c r="CK24" s="612"/>
      <c r="CL24" s="612"/>
      <c r="CM24" s="612"/>
      <c r="CN24" s="612"/>
      <c r="CO24" s="612"/>
      <c r="CP24" s="612"/>
      <c r="CQ24" s="612"/>
      <c r="CR24" s="612"/>
      <c r="CS24" s="612"/>
      <c r="CT24" s="612"/>
      <c r="CU24" s="612"/>
      <c r="CV24" s="612"/>
      <c r="CW24" s="612"/>
      <c r="CX24" s="612"/>
      <c r="CY24" s="612"/>
      <c r="CZ24" s="612"/>
      <c r="DA24" s="612"/>
      <c r="DB24" s="612"/>
      <c r="DC24" s="612"/>
      <c r="DD24" s="612"/>
      <c r="DE24" s="612"/>
      <c r="DF24" s="612"/>
      <c r="DG24" s="612"/>
      <c r="DH24" s="612"/>
      <c r="DI24" s="612"/>
      <c r="DJ24" s="612"/>
      <c r="DK24" s="612"/>
      <c r="DL24" s="612"/>
      <c r="DM24" s="612"/>
      <c r="DN24" s="612"/>
      <c r="DO24" s="612"/>
      <c r="DP24" s="612"/>
      <c r="DQ24" s="612"/>
      <c r="DR24" s="612"/>
      <c r="DS24" s="612"/>
      <c r="DT24" s="612"/>
      <c r="DU24" s="612"/>
      <c r="DV24" s="612"/>
      <c r="DW24" s="612"/>
      <c r="DX24" s="612"/>
      <c r="DY24" s="612"/>
      <c r="DZ24" s="612"/>
      <c r="EA24" s="612"/>
      <c r="EB24" s="612"/>
      <c r="EC24" s="612"/>
      <c r="ED24" s="612"/>
      <c r="EE24" s="612"/>
      <c r="EF24" s="612"/>
      <c r="EG24" s="612"/>
      <c r="EH24" s="612"/>
      <c r="EI24" s="612"/>
      <c r="EJ24" s="612"/>
      <c r="EK24" s="612"/>
      <c r="EL24" s="612"/>
      <c r="EM24" s="612"/>
      <c r="EN24" s="612"/>
      <c r="EO24" s="612"/>
      <c r="EP24" s="612"/>
      <c r="EQ24" s="612"/>
      <c r="ER24" s="612"/>
      <c r="ES24" s="612"/>
      <c r="ET24" s="612"/>
      <c r="EU24" s="612"/>
      <c r="EV24" s="612"/>
      <c r="EW24" s="612"/>
      <c r="EX24" s="612"/>
      <c r="EY24" s="612"/>
      <c r="EZ24" s="612"/>
      <c r="FA24" s="612"/>
      <c r="FB24" s="612"/>
      <c r="FC24" s="612"/>
      <c r="FD24" s="612"/>
      <c r="FE24" s="612"/>
      <c r="FF24" s="612"/>
      <c r="FG24" s="612"/>
      <c r="FH24" s="612"/>
      <c r="FI24" s="612"/>
      <c r="FJ24" s="612"/>
      <c r="FK24" s="612"/>
      <c r="FL24" s="612"/>
      <c r="FM24" s="612"/>
      <c r="FN24" s="612"/>
      <c r="FO24" s="612"/>
      <c r="FP24" s="612"/>
      <c r="FQ24" s="612"/>
      <c r="FR24" s="612"/>
      <c r="FS24" s="612"/>
      <c r="FT24" s="612"/>
      <c r="FU24" s="612"/>
      <c r="FV24" s="612"/>
      <c r="FW24" s="612"/>
      <c r="FX24" s="612"/>
      <c r="FY24" s="612"/>
      <c r="FZ24" s="612"/>
      <c r="GA24" s="612"/>
      <c r="GB24" s="612"/>
      <c r="GC24" s="612"/>
      <c r="GD24" s="612"/>
      <c r="GE24" s="612"/>
      <c r="GF24" s="612"/>
      <c r="GG24" s="612"/>
      <c r="GH24" s="612"/>
      <c r="GI24" s="612"/>
      <c r="GJ24" s="612"/>
      <c r="GK24" s="612"/>
      <c r="GL24" s="612"/>
      <c r="GM24" s="612"/>
      <c r="GN24" s="612"/>
      <c r="GO24" s="612"/>
      <c r="GP24" s="612"/>
      <c r="GQ24" s="612"/>
      <c r="GR24" s="612"/>
      <c r="GS24" s="612"/>
      <c r="GT24" s="612"/>
      <c r="GU24" s="612"/>
      <c r="GV24" s="612"/>
      <c r="GW24" s="612"/>
      <c r="GX24" s="612"/>
      <c r="GY24" s="612"/>
      <c r="GZ24" s="612"/>
      <c r="HA24" s="612"/>
      <c r="HB24" s="612"/>
      <c r="HC24" s="612"/>
      <c r="HD24" s="612"/>
      <c r="HE24" s="612"/>
      <c r="HF24" s="612"/>
      <c r="HG24" s="612"/>
      <c r="HH24" s="612"/>
      <c r="HI24" s="612"/>
      <c r="HJ24" s="612"/>
      <c r="HK24" s="612"/>
      <c r="HL24" s="612"/>
      <c r="HM24" s="612"/>
      <c r="HN24" s="612"/>
      <c r="HO24" s="612"/>
      <c r="HP24" s="612"/>
      <c r="HQ24" s="612"/>
      <c r="HR24" s="612"/>
      <c r="HS24" s="612"/>
      <c r="HT24" s="612"/>
      <c r="HU24" s="612"/>
      <c r="HV24" s="612"/>
      <c r="HW24" s="612"/>
      <c r="HX24" s="612"/>
      <c r="HY24" s="612"/>
      <c r="HZ24" s="612"/>
      <c r="IA24" s="612"/>
      <c r="IB24" s="612"/>
      <c r="IC24" s="612"/>
      <c r="ID24" s="612"/>
      <c r="IE24" s="612"/>
      <c r="IF24" s="612"/>
      <c r="IG24" s="612"/>
      <c r="IH24" s="612"/>
      <c r="II24" s="612"/>
      <c r="IJ24" s="612"/>
      <c r="IK24" s="612"/>
      <c r="IL24" s="612"/>
      <c r="IM24" s="612"/>
      <c r="IN24" s="612"/>
      <c r="IO24" s="612"/>
      <c r="IP24" s="612"/>
      <c r="IQ24" s="612"/>
      <c r="IR24" s="612"/>
      <c r="IS24" s="612"/>
      <c r="IT24" s="612"/>
      <c r="IU24" s="612"/>
      <c r="IV24" s="612"/>
      <c r="IW24" s="612"/>
    </row>
    <row r="25" customFormat="false" ht="12.75" hidden="false" customHeight="false" outlineLevel="0" collapsed="false">
      <c r="A25" s="616" t="s">
        <v>405</v>
      </c>
      <c r="B25" s="617" t="n">
        <f aca="false">Assumptions!$O$46</f>
        <v>15</v>
      </c>
      <c r="C25" s="618"/>
      <c r="D25" s="614" t="n">
        <f aca="false">D14</f>
        <v>0.05</v>
      </c>
      <c r="E25" s="614" t="n">
        <f aca="false">E14</f>
        <v>0.095</v>
      </c>
      <c r="F25" s="614" t="n">
        <f aca="false">F14</f>
        <v>0.0855</v>
      </c>
      <c r="G25" s="614" t="n">
        <f aca="false">G14</f>
        <v>0.077</v>
      </c>
      <c r="H25" s="614" t="n">
        <f aca="false">H14</f>
        <v>0.0693</v>
      </c>
      <c r="I25" s="614" t="n">
        <f aca="false">I14</f>
        <v>0.0623</v>
      </c>
      <c r="J25" s="614" t="n">
        <f aca="false">J14</f>
        <v>0.059</v>
      </c>
      <c r="K25" s="614" t="n">
        <f aca="false">K14</f>
        <v>0.0591</v>
      </c>
      <c r="L25" s="614" t="n">
        <f aca="false">L14</f>
        <v>0.059</v>
      </c>
      <c r="M25" s="614" t="n">
        <f aca="false">M14</f>
        <v>0.0591</v>
      </c>
      <c r="N25" s="614" t="n">
        <f aca="false">N14</f>
        <v>0.059</v>
      </c>
      <c r="O25" s="614" t="n">
        <f aca="false">O14</f>
        <v>0.0591</v>
      </c>
      <c r="P25" s="614" t="n">
        <f aca="false">P14</f>
        <v>0.059</v>
      </c>
      <c r="Q25" s="614" t="n">
        <f aca="false">Q14</f>
        <v>0.0591</v>
      </c>
      <c r="R25" s="614" t="n">
        <f aca="false">R14</f>
        <v>0.059</v>
      </c>
      <c r="S25" s="614" t="n">
        <f aca="false">S14</f>
        <v>0.0295</v>
      </c>
      <c r="T25" s="614" t="n">
        <f aca="false">T14</f>
        <v>0</v>
      </c>
      <c r="U25" s="614" t="n">
        <f aca="false">U14</f>
        <v>0</v>
      </c>
      <c r="V25" s="614" t="n">
        <f aca="false">V14</f>
        <v>0</v>
      </c>
      <c r="W25" s="614" t="n">
        <f aca="false">W14</f>
        <v>0</v>
      </c>
      <c r="X25" s="614" t="n">
        <f aca="false">X14</f>
        <v>0</v>
      </c>
      <c r="Y25" s="614" t="n">
        <f aca="false">Y14</f>
        <v>0</v>
      </c>
      <c r="Z25" s="614" t="n">
        <f aca="false">Z14</f>
        <v>0</v>
      </c>
      <c r="AA25" s="614" t="n">
        <f aca="false">AA14</f>
        <v>0</v>
      </c>
      <c r="AB25" s="614" t="n">
        <f aca="false">AB14</f>
        <v>0</v>
      </c>
      <c r="AC25" s="614" t="n">
        <f aca="false">AC14</f>
        <v>0</v>
      </c>
      <c r="AD25" s="614" t="n">
        <f aca="false">AD14</f>
        <v>0</v>
      </c>
      <c r="AE25" s="614" t="n">
        <f aca="false">AE14</f>
        <v>0</v>
      </c>
      <c r="AF25" s="614" t="n">
        <f aca="false">AF14</f>
        <v>0</v>
      </c>
      <c r="AG25" s="614" t="n">
        <f aca="false">AG14</f>
        <v>0</v>
      </c>
      <c r="AH25" s="614" t="n">
        <f aca="false">AH14</f>
        <v>0</v>
      </c>
      <c r="AI25" s="612"/>
      <c r="AJ25" s="612"/>
      <c r="AK25" s="612"/>
      <c r="AL25" s="612"/>
      <c r="AM25" s="612"/>
      <c r="AN25" s="612"/>
      <c r="AO25" s="612"/>
      <c r="AP25" s="612"/>
      <c r="AQ25" s="612"/>
      <c r="AR25" s="612"/>
      <c r="AS25" s="612"/>
      <c r="AT25" s="612"/>
      <c r="AU25" s="612"/>
      <c r="AV25" s="612"/>
      <c r="AW25" s="612"/>
      <c r="AX25" s="612"/>
      <c r="AY25" s="612"/>
      <c r="AZ25" s="612"/>
      <c r="BA25" s="612"/>
      <c r="BB25" s="612"/>
      <c r="BC25" s="612"/>
      <c r="BD25" s="612"/>
      <c r="BE25" s="612"/>
      <c r="BF25" s="612"/>
      <c r="BG25" s="612"/>
      <c r="BH25" s="612"/>
      <c r="BI25" s="612"/>
      <c r="BJ25" s="612"/>
      <c r="BK25" s="612"/>
      <c r="BL25" s="612"/>
      <c r="BM25" s="612"/>
      <c r="BN25" s="612"/>
      <c r="BO25" s="612"/>
      <c r="BP25" s="612"/>
      <c r="BQ25" s="612"/>
      <c r="BR25" s="612"/>
      <c r="BS25" s="612"/>
      <c r="BT25" s="612"/>
      <c r="BU25" s="612"/>
      <c r="BV25" s="612"/>
      <c r="BW25" s="612"/>
      <c r="BX25" s="612"/>
      <c r="BY25" s="612"/>
      <c r="BZ25" s="612"/>
      <c r="CA25" s="612"/>
      <c r="CB25" s="612"/>
      <c r="CC25" s="612"/>
      <c r="CD25" s="612"/>
      <c r="CE25" s="612"/>
      <c r="CF25" s="612"/>
      <c r="CG25" s="612"/>
      <c r="CH25" s="612"/>
      <c r="CI25" s="612"/>
      <c r="CJ25" s="612"/>
      <c r="CK25" s="612"/>
      <c r="CL25" s="612"/>
      <c r="CM25" s="612"/>
      <c r="CN25" s="612"/>
      <c r="CO25" s="612"/>
      <c r="CP25" s="612"/>
      <c r="CQ25" s="612"/>
      <c r="CR25" s="612"/>
      <c r="CS25" s="612"/>
      <c r="CT25" s="612"/>
      <c r="CU25" s="612"/>
      <c r="CV25" s="612"/>
      <c r="CW25" s="612"/>
      <c r="CX25" s="612"/>
      <c r="CY25" s="612"/>
      <c r="CZ25" s="612"/>
      <c r="DA25" s="612"/>
      <c r="DB25" s="612"/>
      <c r="DC25" s="612"/>
      <c r="DD25" s="612"/>
      <c r="DE25" s="612"/>
      <c r="DF25" s="612"/>
      <c r="DG25" s="612"/>
      <c r="DH25" s="612"/>
      <c r="DI25" s="612"/>
      <c r="DJ25" s="612"/>
      <c r="DK25" s="612"/>
      <c r="DL25" s="612"/>
      <c r="DM25" s="612"/>
      <c r="DN25" s="612"/>
      <c r="DO25" s="612"/>
      <c r="DP25" s="612"/>
      <c r="DQ25" s="612"/>
      <c r="DR25" s="612"/>
      <c r="DS25" s="612"/>
      <c r="DT25" s="612"/>
      <c r="DU25" s="612"/>
      <c r="DV25" s="612"/>
      <c r="DW25" s="612"/>
      <c r="DX25" s="612"/>
      <c r="DY25" s="612"/>
      <c r="DZ25" s="612"/>
      <c r="EA25" s="612"/>
      <c r="EB25" s="612"/>
      <c r="EC25" s="612"/>
      <c r="ED25" s="612"/>
      <c r="EE25" s="612"/>
      <c r="EF25" s="612"/>
      <c r="EG25" s="612"/>
      <c r="EH25" s="612"/>
      <c r="EI25" s="612"/>
      <c r="EJ25" s="612"/>
      <c r="EK25" s="612"/>
      <c r="EL25" s="612"/>
      <c r="EM25" s="612"/>
      <c r="EN25" s="612"/>
      <c r="EO25" s="612"/>
      <c r="EP25" s="612"/>
      <c r="EQ25" s="612"/>
      <c r="ER25" s="612"/>
      <c r="ES25" s="612"/>
      <c r="ET25" s="612"/>
      <c r="EU25" s="612"/>
      <c r="EV25" s="612"/>
      <c r="EW25" s="612"/>
      <c r="EX25" s="612"/>
      <c r="EY25" s="612"/>
      <c r="EZ25" s="612"/>
      <c r="FA25" s="612"/>
      <c r="FB25" s="612"/>
      <c r="FC25" s="612"/>
      <c r="FD25" s="612"/>
      <c r="FE25" s="612"/>
      <c r="FF25" s="612"/>
      <c r="FG25" s="612"/>
      <c r="FH25" s="612"/>
      <c r="FI25" s="612"/>
      <c r="FJ25" s="612"/>
      <c r="FK25" s="612"/>
      <c r="FL25" s="612"/>
      <c r="FM25" s="612"/>
      <c r="FN25" s="612"/>
      <c r="FO25" s="612"/>
      <c r="FP25" s="612"/>
      <c r="FQ25" s="612"/>
      <c r="FR25" s="612"/>
      <c r="FS25" s="612"/>
      <c r="FT25" s="612"/>
      <c r="FU25" s="612"/>
      <c r="FV25" s="612"/>
      <c r="FW25" s="612"/>
      <c r="FX25" s="612"/>
      <c r="FY25" s="612"/>
      <c r="FZ25" s="612"/>
      <c r="GA25" s="612"/>
      <c r="GB25" s="612"/>
      <c r="GC25" s="612"/>
      <c r="GD25" s="612"/>
      <c r="GE25" s="612"/>
      <c r="GF25" s="612"/>
      <c r="GG25" s="612"/>
      <c r="GH25" s="612"/>
      <c r="GI25" s="612"/>
      <c r="GJ25" s="612"/>
      <c r="GK25" s="612"/>
      <c r="GL25" s="612"/>
      <c r="GM25" s="612"/>
      <c r="GN25" s="612"/>
      <c r="GO25" s="612"/>
      <c r="GP25" s="612"/>
      <c r="GQ25" s="612"/>
      <c r="GR25" s="612"/>
      <c r="GS25" s="612"/>
      <c r="GT25" s="612"/>
      <c r="GU25" s="612"/>
      <c r="GV25" s="612"/>
      <c r="GW25" s="612"/>
      <c r="GX25" s="612"/>
      <c r="GY25" s="612"/>
      <c r="GZ25" s="612"/>
      <c r="HA25" s="612"/>
      <c r="HB25" s="612"/>
      <c r="HC25" s="612"/>
      <c r="HD25" s="612"/>
      <c r="HE25" s="612"/>
      <c r="HF25" s="612"/>
      <c r="HG25" s="612"/>
      <c r="HH25" s="612"/>
      <c r="HI25" s="612"/>
      <c r="HJ25" s="612"/>
      <c r="HK25" s="612"/>
      <c r="HL25" s="612"/>
      <c r="HM25" s="612"/>
      <c r="HN25" s="612"/>
      <c r="HO25" s="612"/>
      <c r="HP25" s="612"/>
      <c r="HQ25" s="612"/>
      <c r="HR25" s="612"/>
      <c r="HS25" s="612"/>
      <c r="HT25" s="612"/>
      <c r="HU25" s="612"/>
      <c r="HV25" s="612"/>
      <c r="HW25" s="612"/>
      <c r="HX25" s="612"/>
      <c r="HY25" s="612"/>
      <c r="HZ25" s="612"/>
      <c r="IA25" s="612"/>
      <c r="IB25" s="612"/>
      <c r="IC25" s="612"/>
      <c r="ID25" s="612"/>
      <c r="IE25" s="612"/>
      <c r="IF25" s="612"/>
      <c r="IG25" s="612"/>
      <c r="IH25" s="612"/>
      <c r="II25" s="612"/>
      <c r="IJ25" s="612"/>
      <c r="IK25" s="612"/>
      <c r="IL25" s="612"/>
      <c r="IM25" s="612"/>
      <c r="IN25" s="612"/>
      <c r="IO25" s="612"/>
      <c r="IP25" s="612"/>
      <c r="IQ25" s="612"/>
      <c r="IR25" s="612"/>
      <c r="IS25" s="612"/>
      <c r="IT25" s="612"/>
      <c r="IU25" s="612"/>
      <c r="IV25" s="612"/>
      <c r="IW25" s="612"/>
    </row>
    <row r="26" customFormat="false" ht="12.75" hidden="false" customHeight="false" outlineLevel="0" collapsed="false">
      <c r="A26" s="620" t="s">
        <v>406</v>
      </c>
      <c r="B26" s="621" t="n">
        <f aca="false">Assumptions!$O$47</f>
        <v>20</v>
      </c>
      <c r="C26" s="618"/>
      <c r="D26" s="614" t="n">
        <f aca="false">D15</f>
        <v>0.0334246575342466</v>
      </c>
      <c r="E26" s="614" t="n">
        <f aca="false">E15</f>
        <v>0.05</v>
      </c>
      <c r="F26" s="614" t="n">
        <f aca="false">F15</f>
        <v>0.05</v>
      </c>
      <c r="G26" s="614" t="n">
        <f aca="false">G15</f>
        <v>0.05</v>
      </c>
      <c r="H26" s="614" t="n">
        <f aca="false">H15</f>
        <v>0.05</v>
      </c>
      <c r="I26" s="614" t="n">
        <f aca="false">I15</f>
        <v>0.05</v>
      </c>
      <c r="J26" s="614" t="n">
        <f aca="false">J15</f>
        <v>0.05</v>
      </c>
      <c r="K26" s="614" t="n">
        <f aca="false">K15</f>
        <v>0.05</v>
      </c>
      <c r="L26" s="614" t="n">
        <f aca="false">L15</f>
        <v>0.05</v>
      </c>
      <c r="M26" s="614" t="n">
        <f aca="false">M15</f>
        <v>0.05</v>
      </c>
      <c r="N26" s="614" t="n">
        <f aca="false">N15</f>
        <v>0.05</v>
      </c>
      <c r="O26" s="614" t="n">
        <f aca="false">O15</f>
        <v>0.05</v>
      </c>
      <c r="P26" s="614" t="n">
        <f aca="false">P15</f>
        <v>0.05</v>
      </c>
      <c r="Q26" s="614" t="n">
        <f aca="false">Q15</f>
        <v>0.05</v>
      </c>
      <c r="R26" s="614" t="n">
        <f aca="false">R15</f>
        <v>0.05</v>
      </c>
      <c r="S26" s="614" t="n">
        <f aca="false">S15</f>
        <v>0.05</v>
      </c>
      <c r="T26" s="614" t="n">
        <f aca="false">T15</f>
        <v>0.05</v>
      </c>
      <c r="U26" s="614" t="n">
        <f aca="false">U15</f>
        <v>0.05</v>
      </c>
      <c r="V26" s="614" t="n">
        <f aca="false">V15</f>
        <v>0.05</v>
      </c>
      <c r="W26" s="614" t="n">
        <f aca="false">W15</f>
        <v>0.05</v>
      </c>
      <c r="X26" s="614" t="n">
        <f aca="false">X15</f>
        <v>0</v>
      </c>
      <c r="Y26" s="614" t="n">
        <f aca="false">Y15</f>
        <v>0</v>
      </c>
      <c r="Z26" s="614" t="n">
        <f aca="false">Z15</f>
        <v>0</v>
      </c>
      <c r="AA26" s="614" t="n">
        <f aca="false">AA15</f>
        <v>0</v>
      </c>
      <c r="AB26" s="614" t="n">
        <f aca="false">AB15</f>
        <v>0</v>
      </c>
      <c r="AC26" s="614" t="n">
        <f aca="false">AC15</f>
        <v>0</v>
      </c>
      <c r="AD26" s="614" t="n">
        <f aca="false">AD15</f>
        <v>0</v>
      </c>
      <c r="AE26" s="614" t="n">
        <f aca="false">AE15</f>
        <v>0</v>
      </c>
      <c r="AF26" s="614" t="n">
        <f aca="false">AF15</f>
        <v>0</v>
      </c>
      <c r="AG26" s="614" t="n">
        <f aca="false">AG15</f>
        <v>0</v>
      </c>
      <c r="AH26" s="614" t="n">
        <f aca="false">AH15</f>
        <v>0</v>
      </c>
      <c r="AI26" s="612"/>
      <c r="AJ26" s="612"/>
      <c r="AK26" s="612"/>
      <c r="AL26" s="612"/>
      <c r="AM26" s="612"/>
      <c r="AN26" s="612"/>
      <c r="AO26" s="612"/>
      <c r="AP26" s="612"/>
      <c r="AQ26" s="612"/>
      <c r="AR26" s="612"/>
      <c r="AS26" s="612"/>
      <c r="AT26" s="612"/>
      <c r="AU26" s="612"/>
      <c r="AV26" s="612"/>
      <c r="AW26" s="612"/>
      <c r="AX26" s="612"/>
      <c r="AY26" s="612"/>
      <c r="AZ26" s="612"/>
      <c r="BA26" s="612"/>
      <c r="BB26" s="612"/>
      <c r="BC26" s="612"/>
      <c r="BD26" s="612"/>
      <c r="BE26" s="612"/>
      <c r="BF26" s="612"/>
      <c r="BG26" s="612"/>
      <c r="BH26" s="612"/>
      <c r="BI26" s="612"/>
      <c r="BJ26" s="612"/>
      <c r="BK26" s="612"/>
      <c r="BL26" s="612"/>
      <c r="BM26" s="612"/>
      <c r="BN26" s="612"/>
      <c r="BO26" s="612"/>
      <c r="BP26" s="612"/>
      <c r="BQ26" s="612"/>
      <c r="BR26" s="612"/>
      <c r="BS26" s="612"/>
      <c r="BT26" s="612"/>
      <c r="BU26" s="612"/>
      <c r="BV26" s="612"/>
      <c r="BW26" s="612"/>
      <c r="BX26" s="612"/>
      <c r="BY26" s="612"/>
      <c r="BZ26" s="612"/>
      <c r="CA26" s="612"/>
      <c r="CB26" s="612"/>
      <c r="CC26" s="612"/>
      <c r="CD26" s="612"/>
      <c r="CE26" s="612"/>
      <c r="CF26" s="612"/>
      <c r="CG26" s="612"/>
      <c r="CH26" s="612"/>
      <c r="CI26" s="612"/>
      <c r="CJ26" s="612"/>
      <c r="CK26" s="612"/>
      <c r="CL26" s="612"/>
      <c r="CM26" s="612"/>
      <c r="CN26" s="612"/>
      <c r="CO26" s="612"/>
      <c r="CP26" s="612"/>
      <c r="CQ26" s="612"/>
      <c r="CR26" s="612"/>
      <c r="CS26" s="612"/>
      <c r="CT26" s="612"/>
      <c r="CU26" s="612"/>
      <c r="CV26" s="612"/>
      <c r="CW26" s="612"/>
      <c r="CX26" s="612"/>
      <c r="CY26" s="612"/>
      <c r="CZ26" s="612"/>
      <c r="DA26" s="612"/>
      <c r="DB26" s="612"/>
      <c r="DC26" s="612"/>
      <c r="DD26" s="612"/>
      <c r="DE26" s="612"/>
      <c r="DF26" s="612"/>
      <c r="DG26" s="612"/>
      <c r="DH26" s="612"/>
      <c r="DI26" s="612"/>
      <c r="DJ26" s="612"/>
      <c r="DK26" s="612"/>
      <c r="DL26" s="612"/>
      <c r="DM26" s="612"/>
      <c r="DN26" s="612"/>
      <c r="DO26" s="612"/>
      <c r="DP26" s="612"/>
      <c r="DQ26" s="612"/>
      <c r="DR26" s="612"/>
      <c r="DS26" s="612"/>
      <c r="DT26" s="612"/>
      <c r="DU26" s="612"/>
      <c r="DV26" s="612"/>
      <c r="DW26" s="612"/>
      <c r="DX26" s="612"/>
      <c r="DY26" s="612"/>
      <c r="DZ26" s="612"/>
      <c r="EA26" s="612"/>
      <c r="EB26" s="612"/>
      <c r="EC26" s="612"/>
      <c r="ED26" s="612"/>
      <c r="EE26" s="612"/>
      <c r="EF26" s="612"/>
      <c r="EG26" s="612"/>
      <c r="EH26" s="612"/>
      <c r="EI26" s="612"/>
      <c r="EJ26" s="612"/>
      <c r="EK26" s="612"/>
      <c r="EL26" s="612"/>
      <c r="EM26" s="612"/>
      <c r="EN26" s="612"/>
      <c r="EO26" s="612"/>
      <c r="EP26" s="612"/>
      <c r="EQ26" s="612"/>
      <c r="ER26" s="612"/>
      <c r="ES26" s="612"/>
      <c r="ET26" s="612"/>
      <c r="EU26" s="612"/>
      <c r="EV26" s="612"/>
      <c r="EW26" s="612"/>
      <c r="EX26" s="612"/>
      <c r="EY26" s="612"/>
      <c r="EZ26" s="612"/>
      <c r="FA26" s="612"/>
      <c r="FB26" s="612"/>
      <c r="FC26" s="612"/>
      <c r="FD26" s="612"/>
      <c r="FE26" s="612"/>
      <c r="FF26" s="612"/>
      <c r="FG26" s="612"/>
      <c r="FH26" s="612"/>
      <c r="FI26" s="612"/>
      <c r="FJ26" s="612"/>
      <c r="FK26" s="612"/>
      <c r="FL26" s="612"/>
      <c r="FM26" s="612"/>
      <c r="FN26" s="612"/>
      <c r="FO26" s="612"/>
      <c r="FP26" s="612"/>
      <c r="FQ26" s="612"/>
      <c r="FR26" s="612"/>
      <c r="FS26" s="612"/>
      <c r="FT26" s="612"/>
      <c r="FU26" s="612"/>
      <c r="FV26" s="612"/>
      <c r="FW26" s="612"/>
      <c r="FX26" s="612"/>
      <c r="FY26" s="612"/>
      <c r="FZ26" s="612"/>
      <c r="GA26" s="612"/>
      <c r="GB26" s="612"/>
      <c r="GC26" s="612"/>
      <c r="GD26" s="612"/>
      <c r="GE26" s="612"/>
      <c r="GF26" s="612"/>
      <c r="GG26" s="612"/>
      <c r="GH26" s="612"/>
      <c r="GI26" s="612"/>
      <c r="GJ26" s="612"/>
      <c r="GK26" s="612"/>
      <c r="GL26" s="612"/>
      <c r="GM26" s="612"/>
      <c r="GN26" s="612"/>
      <c r="GO26" s="612"/>
      <c r="GP26" s="612"/>
      <c r="GQ26" s="612"/>
      <c r="GR26" s="612"/>
      <c r="GS26" s="612"/>
      <c r="GT26" s="612"/>
      <c r="GU26" s="612"/>
      <c r="GV26" s="612"/>
      <c r="GW26" s="612"/>
      <c r="GX26" s="612"/>
      <c r="GY26" s="612"/>
      <c r="GZ26" s="612"/>
      <c r="HA26" s="612"/>
      <c r="HB26" s="612"/>
      <c r="HC26" s="612"/>
      <c r="HD26" s="612"/>
      <c r="HE26" s="612"/>
      <c r="HF26" s="612"/>
      <c r="HG26" s="612"/>
      <c r="HH26" s="612"/>
      <c r="HI26" s="612"/>
      <c r="HJ26" s="612"/>
      <c r="HK26" s="612"/>
      <c r="HL26" s="612"/>
      <c r="HM26" s="612"/>
      <c r="HN26" s="612"/>
      <c r="HO26" s="612"/>
      <c r="HP26" s="612"/>
      <c r="HQ26" s="612"/>
      <c r="HR26" s="612"/>
      <c r="HS26" s="612"/>
      <c r="HT26" s="612"/>
      <c r="HU26" s="612"/>
      <c r="HV26" s="612"/>
      <c r="HW26" s="612"/>
      <c r="HX26" s="612"/>
      <c r="HY26" s="612"/>
      <c r="HZ26" s="612"/>
      <c r="IA26" s="612"/>
      <c r="IB26" s="612"/>
      <c r="IC26" s="612"/>
      <c r="ID26" s="612"/>
      <c r="IE26" s="612"/>
      <c r="IF26" s="612"/>
      <c r="IG26" s="612"/>
      <c r="IH26" s="612"/>
      <c r="II26" s="612"/>
      <c r="IJ26" s="612"/>
      <c r="IK26" s="612"/>
      <c r="IL26" s="612"/>
      <c r="IM26" s="612"/>
      <c r="IN26" s="612"/>
      <c r="IO26" s="612"/>
      <c r="IP26" s="612"/>
      <c r="IQ26" s="612"/>
      <c r="IR26" s="612"/>
      <c r="IS26" s="612"/>
      <c r="IT26" s="612"/>
      <c r="IU26" s="612"/>
      <c r="IV26" s="612"/>
      <c r="IW26" s="612"/>
    </row>
    <row r="27" customFormat="false" ht="12.75" hidden="false" customHeight="false" outlineLevel="0" collapsed="false">
      <c r="A27" s="631"/>
      <c r="B27" s="617"/>
      <c r="D27" s="614"/>
      <c r="E27" s="614"/>
      <c r="F27" s="614"/>
      <c r="G27" s="614"/>
      <c r="H27" s="614"/>
      <c r="I27" s="614"/>
      <c r="J27" s="614"/>
      <c r="K27" s="614"/>
      <c r="L27" s="614"/>
      <c r="M27" s="614"/>
      <c r="N27" s="614"/>
      <c r="O27" s="614"/>
      <c r="P27" s="614"/>
      <c r="Q27" s="614"/>
      <c r="R27" s="614"/>
      <c r="S27" s="614"/>
      <c r="T27" s="614"/>
      <c r="U27" s="614"/>
      <c r="V27" s="614"/>
      <c r="W27" s="614"/>
      <c r="X27" s="614"/>
      <c r="Y27" s="614"/>
      <c r="Z27" s="614"/>
      <c r="AA27" s="614"/>
      <c r="AB27" s="614"/>
      <c r="AC27" s="614"/>
      <c r="AD27" s="614"/>
      <c r="AE27" s="614"/>
      <c r="AF27" s="614"/>
      <c r="AG27" s="614"/>
      <c r="AH27" s="614"/>
      <c r="AI27" s="612"/>
      <c r="AJ27" s="612"/>
      <c r="AK27" s="612"/>
      <c r="AL27" s="612"/>
      <c r="AM27" s="612"/>
      <c r="AN27" s="612"/>
      <c r="AO27" s="612"/>
      <c r="AP27" s="612"/>
      <c r="AQ27" s="612"/>
      <c r="AR27" s="612"/>
      <c r="AS27" s="612"/>
      <c r="AT27" s="612"/>
      <c r="AU27" s="612"/>
      <c r="AV27" s="612"/>
      <c r="AW27" s="612"/>
      <c r="AX27" s="612"/>
      <c r="AY27" s="612"/>
      <c r="AZ27" s="612"/>
      <c r="BA27" s="612"/>
      <c r="BB27" s="612"/>
      <c r="BC27" s="612"/>
      <c r="BD27" s="612"/>
      <c r="BE27" s="612"/>
      <c r="BF27" s="612"/>
      <c r="BG27" s="612"/>
      <c r="BH27" s="612"/>
      <c r="BI27" s="612"/>
      <c r="BJ27" s="612"/>
      <c r="BK27" s="612"/>
      <c r="BL27" s="612"/>
      <c r="BM27" s="612"/>
      <c r="BN27" s="612"/>
      <c r="BO27" s="612"/>
      <c r="BP27" s="612"/>
      <c r="BQ27" s="612"/>
      <c r="BR27" s="612"/>
      <c r="BS27" s="612"/>
      <c r="BT27" s="612"/>
      <c r="BU27" s="612"/>
      <c r="BV27" s="612"/>
      <c r="BW27" s="612"/>
      <c r="BX27" s="612"/>
      <c r="BY27" s="612"/>
      <c r="BZ27" s="612"/>
      <c r="CA27" s="612"/>
      <c r="CB27" s="612"/>
      <c r="CC27" s="612"/>
      <c r="CD27" s="612"/>
      <c r="CE27" s="612"/>
      <c r="CF27" s="612"/>
      <c r="CG27" s="612"/>
      <c r="CH27" s="612"/>
      <c r="CI27" s="612"/>
      <c r="CJ27" s="612"/>
      <c r="CK27" s="612"/>
      <c r="CL27" s="612"/>
      <c r="CM27" s="612"/>
      <c r="CN27" s="612"/>
      <c r="CO27" s="612"/>
      <c r="CP27" s="612"/>
      <c r="CQ27" s="612"/>
      <c r="CR27" s="612"/>
      <c r="CS27" s="612"/>
      <c r="CT27" s="612"/>
      <c r="CU27" s="612"/>
      <c r="CV27" s="612"/>
      <c r="CW27" s="612"/>
      <c r="CX27" s="612"/>
      <c r="CY27" s="612"/>
      <c r="CZ27" s="612"/>
      <c r="DA27" s="612"/>
      <c r="DB27" s="612"/>
      <c r="DC27" s="612"/>
      <c r="DD27" s="612"/>
      <c r="DE27" s="612"/>
      <c r="DF27" s="612"/>
      <c r="DG27" s="612"/>
      <c r="DH27" s="612"/>
      <c r="DI27" s="612"/>
      <c r="DJ27" s="612"/>
      <c r="DK27" s="612"/>
      <c r="DL27" s="612"/>
      <c r="DM27" s="612"/>
      <c r="DN27" s="612"/>
      <c r="DO27" s="612"/>
      <c r="DP27" s="612"/>
      <c r="DQ27" s="612"/>
      <c r="DR27" s="612"/>
      <c r="DS27" s="612"/>
      <c r="DT27" s="612"/>
      <c r="DU27" s="612"/>
      <c r="DV27" s="612"/>
      <c r="DW27" s="612"/>
      <c r="DX27" s="612"/>
      <c r="DY27" s="612"/>
      <c r="DZ27" s="612"/>
      <c r="EA27" s="612"/>
      <c r="EB27" s="612"/>
      <c r="EC27" s="612"/>
      <c r="ED27" s="612"/>
      <c r="EE27" s="612"/>
      <c r="EF27" s="612"/>
      <c r="EG27" s="612"/>
      <c r="EH27" s="612"/>
      <c r="EI27" s="612"/>
      <c r="EJ27" s="612"/>
      <c r="EK27" s="612"/>
      <c r="EL27" s="612"/>
      <c r="EM27" s="612"/>
      <c r="EN27" s="612"/>
      <c r="EO27" s="612"/>
      <c r="EP27" s="612"/>
      <c r="EQ27" s="612"/>
      <c r="ER27" s="612"/>
      <c r="ES27" s="612"/>
      <c r="ET27" s="612"/>
      <c r="EU27" s="612"/>
      <c r="EV27" s="612"/>
      <c r="EW27" s="612"/>
      <c r="EX27" s="612"/>
      <c r="EY27" s="612"/>
      <c r="EZ27" s="612"/>
      <c r="FA27" s="612"/>
      <c r="FB27" s="612"/>
      <c r="FC27" s="612"/>
      <c r="FD27" s="612"/>
      <c r="FE27" s="612"/>
      <c r="FF27" s="612"/>
      <c r="FG27" s="612"/>
      <c r="FH27" s="612"/>
      <c r="FI27" s="612"/>
      <c r="FJ27" s="612"/>
      <c r="FK27" s="612"/>
      <c r="FL27" s="612"/>
      <c r="FM27" s="612"/>
      <c r="FN27" s="612"/>
      <c r="FO27" s="612"/>
      <c r="FP27" s="612"/>
      <c r="FQ27" s="612"/>
      <c r="FR27" s="612"/>
      <c r="FS27" s="612"/>
      <c r="FT27" s="612"/>
      <c r="FU27" s="612"/>
      <c r="FV27" s="612"/>
      <c r="FW27" s="612"/>
      <c r="FX27" s="612"/>
      <c r="FY27" s="612"/>
      <c r="FZ27" s="612"/>
      <c r="GA27" s="612"/>
      <c r="GB27" s="612"/>
      <c r="GC27" s="612"/>
      <c r="GD27" s="612"/>
      <c r="GE27" s="612"/>
      <c r="GF27" s="612"/>
      <c r="GG27" s="612"/>
      <c r="GH27" s="612"/>
      <c r="GI27" s="612"/>
      <c r="GJ27" s="612"/>
      <c r="GK27" s="612"/>
      <c r="GL27" s="612"/>
      <c r="GM27" s="612"/>
      <c r="GN27" s="612"/>
      <c r="GO27" s="612"/>
      <c r="GP27" s="612"/>
      <c r="GQ27" s="612"/>
      <c r="GR27" s="612"/>
      <c r="GS27" s="612"/>
      <c r="GT27" s="612"/>
      <c r="GU27" s="612"/>
      <c r="GV27" s="612"/>
      <c r="GW27" s="612"/>
      <c r="GX27" s="612"/>
      <c r="GY27" s="612"/>
      <c r="GZ27" s="612"/>
      <c r="HA27" s="612"/>
      <c r="HB27" s="612"/>
      <c r="HC27" s="612"/>
      <c r="HD27" s="612"/>
      <c r="HE27" s="612"/>
      <c r="HF27" s="612"/>
      <c r="HG27" s="612"/>
      <c r="HH27" s="612"/>
      <c r="HI27" s="612"/>
      <c r="HJ27" s="612"/>
      <c r="HK27" s="612"/>
      <c r="HL27" s="612"/>
      <c r="HM27" s="612"/>
      <c r="HN27" s="612"/>
      <c r="HO27" s="612"/>
      <c r="HP27" s="612"/>
      <c r="HQ27" s="612"/>
      <c r="HR27" s="612"/>
      <c r="HS27" s="612"/>
      <c r="HT27" s="612"/>
      <c r="HU27" s="612"/>
      <c r="HV27" s="612"/>
      <c r="HW27" s="612"/>
      <c r="HX27" s="612"/>
      <c r="HY27" s="612"/>
      <c r="HZ27" s="612"/>
      <c r="IA27" s="612"/>
      <c r="IB27" s="612"/>
      <c r="IC27" s="612"/>
      <c r="ID27" s="612"/>
      <c r="IE27" s="612"/>
      <c r="IF27" s="612"/>
      <c r="IG27" s="612"/>
      <c r="IH27" s="612"/>
      <c r="II27" s="612"/>
      <c r="IJ27" s="612"/>
      <c r="IK27" s="612"/>
      <c r="IL27" s="612"/>
      <c r="IM27" s="612"/>
      <c r="IN27" s="612"/>
      <c r="IO27" s="612"/>
      <c r="IP27" s="612"/>
      <c r="IQ27" s="612"/>
      <c r="IR27" s="612"/>
      <c r="IS27" s="612"/>
      <c r="IT27" s="612"/>
      <c r="IU27" s="612"/>
      <c r="IV27" s="612"/>
      <c r="IW27" s="612"/>
    </row>
    <row r="28" customFormat="false" ht="12.75" hidden="false" customHeight="false" outlineLevel="0" collapsed="false">
      <c r="B28" s="613"/>
      <c r="AI28" s="612"/>
      <c r="AJ28" s="612"/>
      <c r="AK28" s="612"/>
      <c r="AL28" s="612"/>
      <c r="AM28" s="612"/>
      <c r="AN28" s="612"/>
      <c r="AO28" s="612"/>
      <c r="AP28" s="612"/>
      <c r="AQ28" s="612"/>
      <c r="AR28" s="612"/>
      <c r="AS28" s="612"/>
      <c r="AT28" s="612"/>
      <c r="AU28" s="612"/>
      <c r="AV28" s="612"/>
      <c r="AW28" s="612"/>
      <c r="AX28" s="612"/>
      <c r="AY28" s="612"/>
      <c r="AZ28" s="612"/>
      <c r="BA28" s="612"/>
      <c r="BB28" s="612"/>
      <c r="BC28" s="612"/>
      <c r="BD28" s="612"/>
      <c r="BE28" s="612"/>
      <c r="BF28" s="612"/>
      <c r="BG28" s="612"/>
      <c r="BH28" s="612"/>
      <c r="BI28" s="612"/>
      <c r="BJ28" s="612"/>
      <c r="BK28" s="612"/>
      <c r="BL28" s="612"/>
      <c r="BM28" s="612"/>
      <c r="BN28" s="612"/>
      <c r="BO28" s="612"/>
      <c r="BP28" s="612"/>
      <c r="BQ28" s="612"/>
      <c r="BR28" s="612"/>
      <c r="BS28" s="612"/>
      <c r="BT28" s="612"/>
      <c r="BU28" s="612"/>
      <c r="BV28" s="612"/>
      <c r="BW28" s="612"/>
      <c r="BX28" s="612"/>
      <c r="BY28" s="612"/>
      <c r="BZ28" s="612"/>
      <c r="CA28" s="612"/>
      <c r="CB28" s="612"/>
      <c r="CC28" s="612"/>
      <c r="CD28" s="612"/>
      <c r="CE28" s="612"/>
      <c r="CF28" s="612"/>
      <c r="CG28" s="612"/>
      <c r="CH28" s="612"/>
      <c r="CI28" s="612"/>
      <c r="CJ28" s="612"/>
      <c r="CK28" s="612"/>
      <c r="CL28" s="612"/>
      <c r="CM28" s="612"/>
      <c r="CN28" s="612"/>
      <c r="CO28" s="612"/>
      <c r="CP28" s="612"/>
      <c r="CQ28" s="612"/>
      <c r="CR28" s="612"/>
      <c r="CS28" s="612"/>
      <c r="CT28" s="612"/>
      <c r="CU28" s="612"/>
      <c r="CV28" s="612"/>
      <c r="CW28" s="612"/>
      <c r="CX28" s="612"/>
      <c r="CY28" s="612"/>
      <c r="CZ28" s="612"/>
      <c r="DA28" s="612"/>
      <c r="DB28" s="612"/>
      <c r="DC28" s="612"/>
      <c r="DD28" s="612"/>
      <c r="DE28" s="612"/>
      <c r="DF28" s="612"/>
      <c r="DG28" s="612"/>
      <c r="DH28" s="612"/>
      <c r="DI28" s="612"/>
      <c r="DJ28" s="612"/>
      <c r="DK28" s="612"/>
      <c r="DL28" s="612"/>
      <c r="DM28" s="612"/>
      <c r="DN28" s="612"/>
      <c r="DO28" s="612"/>
      <c r="DP28" s="612"/>
      <c r="DQ28" s="612"/>
      <c r="DR28" s="612"/>
      <c r="DS28" s="612"/>
      <c r="DT28" s="612"/>
      <c r="DU28" s="612"/>
      <c r="DV28" s="612"/>
      <c r="DW28" s="612"/>
      <c r="DX28" s="612"/>
      <c r="DY28" s="612"/>
      <c r="DZ28" s="612"/>
      <c r="EA28" s="612"/>
      <c r="EB28" s="612"/>
      <c r="EC28" s="612"/>
      <c r="ED28" s="612"/>
      <c r="EE28" s="612"/>
      <c r="EF28" s="612"/>
      <c r="EG28" s="612"/>
      <c r="EH28" s="612"/>
      <c r="EI28" s="612"/>
      <c r="EJ28" s="612"/>
      <c r="EK28" s="612"/>
      <c r="EL28" s="612"/>
      <c r="EM28" s="612"/>
      <c r="EN28" s="612"/>
      <c r="EO28" s="612"/>
      <c r="EP28" s="612"/>
      <c r="EQ28" s="612"/>
      <c r="ER28" s="612"/>
      <c r="ES28" s="612"/>
      <c r="ET28" s="612"/>
      <c r="EU28" s="612"/>
      <c r="EV28" s="612"/>
      <c r="EW28" s="612"/>
      <c r="EX28" s="612"/>
      <c r="EY28" s="612"/>
      <c r="EZ28" s="612"/>
      <c r="FA28" s="612"/>
      <c r="FB28" s="612"/>
      <c r="FC28" s="612"/>
      <c r="FD28" s="612"/>
      <c r="FE28" s="612"/>
      <c r="FF28" s="612"/>
      <c r="FG28" s="612"/>
      <c r="FH28" s="612"/>
      <c r="FI28" s="612"/>
      <c r="FJ28" s="612"/>
      <c r="FK28" s="612"/>
      <c r="FL28" s="612"/>
      <c r="FM28" s="612"/>
      <c r="FN28" s="612"/>
      <c r="FO28" s="612"/>
      <c r="FP28" s="612"/>
      <c r="FQ28" s="612"/>
      <c r="FR28" s="612"/>
      <c r="FS28" s="612"/>
      <c r="FT28" s="612"/>
      <c r="FU28" s="612"/>
      <c r="FV28" s="612"/>
      <c r="FW28" s="612"/>
      <c r="FX28" s="612"/>
      <c r="FY28" s="612"/>
      <c r="FZ28" s="612"/>
      <c r="GA28" s="612"/>
      <c r="GB28" s="612"/>
      <c r="GC28" s="612"/>
      <c r="GD28" s="612"/>
      <c r="GE28" s="612"/>
      <c r="GF28" s="612"/>
      <c r="GG28" s="612"/>
      <c r="GH28" s="612"/>
      <c r="GI28" s="612"/>
      <c r="GJ28" s="612"/>
      <c r="GK28" s="612"/>
      <c r="GL28" s="612"/>
      <c r="GM28" s="612"/>
      <c r="GN28" s="612"/>
      <c r="GO28" s="612"/>
      <c r="GP28" s="612"/>
      <c r="GQ28" s="612"/>
      <c r="GR28" s="612"/>
      <c r="GS28" s="612"/>
      <c r="GT28" s="612"/>
      <c r="GU28" s="612"/>
      <c r="GV28" s="612"/>
      <c r="GW28" s="612"/>
      <c r="GX28" s="612"/>
      <c r="GY28" s="612"/>
      <c r="GZ28" s="612"/>
      <c r="HA28" s="612"/>
      <c r="HB28" s="612"/>
      <c r="HC28" s="612"/>
      <c r="HD28" s="612"/>
      <c r="HE28" s="612"/>
      <c r="HF28" s="612"/>
      <c r="HG28" s="612"/>
      <c r="HH28" s="612"/>
      <c r="HI28" s="612"/>
      <c r="HJ28" s="612"/>
      <c r="HK28" s="612"/>
      <c r="HL28" s="612"/>
      <c r="HM28" s="612"/>
      <c r="HN28" s="612"/>
      <c r="HO28" s="612"/>
      <c r="HP28" s="612"/>
      <c r="HQ28" s="612"/>
      <c r="HR28" s="612"/>
      <c r="HS28" s="612"/>
      <c r="HT28" s="612"/>
      <c r="HU28" s="612"/>
      <c r="HV28" s="612"/>
      <c r="HW28" s="612"/>
      <c r="HX28" s="612"/>
      <c r="HY28" s="612"/>
      <c r="HZ28" s="612"/>
      <c r="IA28" s="612"/>
      <c r="IB28" s="612"/>
      <c r="IC28" s="612"/>
      <c r="ID28" s="612"/>
      <c r="IE28" s="612"/>
      <c r="IF28" s="612"/>
      <c r="IG28" s="612"/>
      <c r="IH28" s="612"/>
      <c r="II28" s="612"/>
      <c r="IJ28" s="612"/>
      <c r="IK28" s="612"/>
      <c r="IL28" s="612"/>
      <c r="IM28" s="612"/>
      <c r="IN28" s="612"/>
      <c r="IO28" s="612"/>
      <c r="IP28" s="612"/>
      <c r="IQ28" s="612"/>
      <c r="IR28" s="612"/>
      <c r="IS28" s="612"/>
      <c r="IT28" s="612"/>
      <c r="IU28" s="612"/>
      <c r="IV28" s="612"/>
      <c r="IW28" s="612"/>
    </row>
    <row r="29" customFormat="false" ht="12.75" hidden="false" customHeight="false" outlineLevel="0" collapsed="false">
      <c r="A29" s="616" t="s">
        <v>407</v>
      </c>
      <c r="B29" s="625" t="n">
        <f aca="false">B17</f>
        <v>126615.782155181</v>
      </c>
      <c r="C29" s="626"/>
      <c r="D29" s="627" t="n">
        <f aca="false">$B$29*D25</f>
        <v>6330.78910775906</v>
      </c>
      <c r="E29" s="627" t="n">
        <f aca="false">$B$29*E25</f>
        <v>12028.4993047422</v>
      </c>
      <c r="F29" s="627" t="n">
        <f aca="false">$B$29*F25</f>
        <v>10825.649374268</v>
      </c>
      <c r="G29" s="627" t="n">
        <f aca="false">$B$29*G25</f>
        <v>9749.41522594896</v>
      </c>
      <c r="H29" s="627" t="n">
        <f aca="false">$B$29*H25</f>
        <v>8774.47370335406</v>
      </c>
      <c r="I29" s="627" t="n">
        <f aca="false">$B$29*I25</f>
        <v>7888.16322826779</v>
      </c>
      <c r="J29" s="627" t="n">
        <f aca="false">$B$29*J25</f>
        <v>7470.33114715569</v>
      </c>
      <c r="K29" s="627" t="n">
        <f aca="false">$B$29*K25</f>
        <v>7482.99272537121</v>
      </c>
      <c r="L29" s="627" t="n">
        <f aca="false">$B$29*L25</f>
        <v>7470.33114715569</v>
      </c>
      <c r="M29" s="627" t="n">
        <f aca="false">$B$29*M25</f>
        <v>7482.99272537121</v>
      </c>
      <c r="N29" s="627" t="n">
        <f aca="false">$B$29*N25</f>
        <v>7470.33114715569</v>
      </c>
      <c r="O29" s="627" t="n">
        <f aca="false">$B$29*O25</f>
        <v>7482.99272537121</v>
      </c>
      <c r="P29" s="627" t="n">
        <f aca="false">$B$29*P25</f>
        <v>7470.33114715569</v>
      </c>
      <c r="Q29" s="627" t="n">
        <f aca="false">$B$29*Q25</f>
        <v>7482.99272537121</v>
      </c>
      <c r="R29" s="627" t="n">
        <f aca="false">$B$29*R25</f>
        <v>7470.33114715569</v>
      </c>
      <c r="S29" s="627" t="n">
        <f aca="false">$B$29*S25</f>
        <v>3735.16557357785</v>
      </c>
      <c r="T29" s="627" t="n">
        <f aca="false">$B$29*T25</f>
        <v>0</v>
      </c>
      <c r="U29" s="627" t="n">
        <f aca="false">$B$29*U25</f>
        <v>0</v>
      </c>
      <c r="V29" s="627" t="n">
        <f aca="false">$B$29*V25</f>
        <v>0</v>
      </c>
      <c r="W29" s="627" t="n">
        <f aca="false">$B$29*W25</f>
        <v>0</v>
      </c>
      <c r="X29" s="627" t="n">
        <f aca="false">$B$29*X25</f>
        <v>0</v>
      </c>
      <c r="Y29" s="627" t="n">
        <f aca="false">$B$29*Y25</f>
        <v>0</v>
      </c>
      <c r="Z29" s="627" t="n">
        <f aca="false">$B$29*Z25</f>
        <v>0</v>
      </c>
      <c r="AA29" s="627" t="n">
        <f aca="false">$B$29*AA25</f>
        <v>0</v>
      </c>
      <c r="AB29" s="627" t="n">
        <f aca="false">$B$29*AB25</f>
        <v>0</v>
      </c>
      <c r="AC29" s="627" t="n">
        <f aca="false">$B$29*AC25</f>
        <v>0</v>
      </c>
      <c r="AD29" s="627" t="n">
        <f aca="false">$B$29*AD25</f>
        <v>0</v>
      </c>
      <c r="AE29" s="627" t="n">
        <f aca="false">$B$29*AE25</f>
        <v>0</v>
      </c>
      <c r="AF29" s="627" t="n">
        <f aca="false">$B$29*AF25</f>
        <v>0</v>
      </c>
      <c r="AG29" s="627" t="n">
        <f aca="false">$B$29*AG25</f>
        <v>0</v>
      </c>
      <c r="AH29" s="627" t="n">
        <f aca="false">$B$29*AH25</f>
        <v>0</v>
      </c>
      <c r="AI29" s="634"/>
      <c r="AJ29" s="634"/>
      <c r="AK29" s="634"/>
      <c r="AL29" s="634"/>
      <c r="AM29" s="634"/>
      <c r="AN29" s="634"/>
      <c r="AO29" s="634"/>
      <c r="AP29" s="634"/>
      <c r="AQ29" s="634"/>
      <c r="AR29" s="634"/>
      <c r="AS29" s="634"/>
      <c r="AT29" s="634"/>
      <c r="AU29" s="634"/>
      <c r="AV29" s="634"/>
      <c r="AW29" s="634"/>
      <c r="AX29" s="634"/>
      <c r="AY29" s="634"/>
      <c r="AZ29" s="634"/>
      <c r="BA29" s="634"/>
      <c r="BB29" s="634"/>
      <c r="BC29" s="634"/>
      <c r="BD29" s="634"/>
      <c r="BE29" s="634"/>
      <c r="BF29" s="634"/>
      <c r="BG29" s="634"/>
      <c r="BH29" s="634"/>
      <c r="BI29" s="634"/>
      <c r="BJ29" s="634"/>
      <c r="BK29" s="634"/>
      <c r="BL29" s="634"/>
      <c r="BM29" s="634"/>
      <c r="BN29" s="634"/>
      <c r="BO29" s="634"/>
      <c r="BP29" s="634"/>
      <c r="BQ29" s="634"/>
      <c r="BR29" s="634"/>
      <c r="BS29" s="634"/>
      <c r="BT29" s="634"/>
      <c r="BU29" s="634"/>
      <c r="BV29" s="634"/>
      <c r="BW29" s="634"/>
      <c r="BX29" s="634"/>
      <c r="BY29" s="634"/>
      <c r="BZ29" s="634"/>
      <c r="CA29" s="634"/>
      <c r="CB29" s="634"/>
      <c r="CC29" s="634"/>
      <c r="CD29" s="634"/>
      <c r="CE29" s="634"/>
      <c r="CF29" s="634"/>
      <c r="CG29" s="634"/>
      <c r="CH29" s="634"/>
      <c r="CI29" s="634"/>
      <c r="CJ29" s="634"/>
      <c r="CK29" s="634"/>
      <c r="CL29" s="634"/>
      <c r="CM29" s="634"/>
      <c r="CN29" s="634"/>
      <c r="CO29" s="634"/>
      <c r="CP29" s="634"/>
      <c r="CQ29" s="634"/>
      <c r="CR29" s="634"/>
      <c r="CS29" s="634"/>
      <c r="CT29" s="634"/>
      <c r="CU29" s="634"/>
      <c r="CV29" s="634"/>
      <c r="CW29" s="634"/>
      <c r="CX29" s="634"/>
      <c r="CY29" s="634"/>
      <c r="CZ29" s="634"/>
      <c r="DA29" s="634"/>
      <c r="DB29" s="634"/>
      <c r="DC29" s="634"/>
      <c r="DD29" s="634"/>
      <c r="DE29" s="634"/>
      <c r="DF29" s="634"/>
      <c r="DG29" s="634"/>
      <c r="DH29" s="634"/>
      <c r="DI29" s="634"/>
      <c r="DJ29" s="634"/>
      <c r="DK29" s="634"/>
      <c r="DL29" s="634"/>
      <c r="DM29" s="634"/>
      <c r="DN29" s="634"/>
      <c r="DO29" s="634"/>
      <c r="DP29" s="634"/>
      <c r="DQ29" s="634"/>
      <c r="DR29" s="634"/>
      <c r="DS29" s="634"/>
      <c r="DT29" s="634"/>
      <c r="DU29" s="634"/>
      <c r="DV29" s="634"/>
      <c r="DW29" s="634"/>
      <c r="DX29" s="634"/>
      <c r="DY29" s="634"/>
      <c r="DZ29" s="634"/>
      <c r="EA29" s="634"/>
      <c r="EB29" s="634"/>
      <c r="EC29" s="634"/>
      <c r="ED29" s="634"/>
      <c r="EE29" s="634"/>
      <c r="EF29" s="634"/>
      <c r="EG29" s="634"/>
      <c r="EH29" s="634"/>
      <c r="EI29" s="634"/>
      <c r="EJ29" s="634"/>
      <c r="EK29" s="634"/>
      <c r="EL29" s="634"/>
      <c r="EM29" s="634"/>
      <c r="EN29" s="634"/>
      <c r="EO29" s="634"/>
      <c r="EP29" s="634"/>
      <c r="EQ29" s="634"/>
      <c r="ER29" s="634"/>
      <c r="ES29" s="634"/>
      <c r="ET29" s="634"/>
      <c r="EU29" s="634"/>
      <c r="EV29" s="634"/>
      <c r="EW29" s="634"/>
      <c r="EX29" s="634"/>
      <c r="EY29" s="634"/>
      <c r="EZ29" s="634"/>
      <c r="FA29" s="634"/>
      <c r="FB29" s="634"/>
      <c r="FC29" s="634"/>
      <c r="FD29" s="634"/>
      <c r="FE29" s="634"/>
      <c r="FF29" s="634"/>
      <c r="FG29" s="634"/>
      <c r="FH29" s="634"/>
      <c r="FI29" s="634"/>
      <c r="FJ29" s="634"/>
      <c r="FK29" s="634"/>
      <c r="FL29" s="634"/>
      <c r="FM29" s="634"/>
      <c r="FN29" s="634"/>
      <c r="FO29" s="634"/>
      <c r="FP29" s="634"/>
      <c r="FQ29" s="634"/>
      <c r="FR29" s="634"/>
      <c r="FS29" s="634"/>
      <c r="FT29" s="634"/>
      <c r="FU29" s="634"/>
      <c r="FV29" s="634"/>
      <c r="FW29" s="634"/>
      <c r="FX29" s="634"/>
      <c r="FY29" s="634"/>
      <c r="FZ29" s="634"/>
      <c r="GA29" s="634"/>
      <c r="GB29" s="634"/>
      <c r="GC29" s="634"/>
      <c r="GD29" s="634"/>
      <c r="GE29" s="634"/>
      <c r="GF29" s="634"/>
      <c r="GG29" s="634"/>
      <c r="GH29" s="634"/>
      <c r="GI29" s="634"/>
      <c r="GJ29" s="634"/>
      <c r="GK29" s="634"/>
      <c r="GL29" s="634"/>
      <c r="GM29" s="634"/>
      <c r="GN29" s="634"/>
      <c r="GO29" s="634"/>
      <c r="GP29" s="634"/>
      <c r="GQ29" s="634"/>
      <c r="GR29" s="634"/>
      <c r="GS29" s="634"/>
      <c r="GT29" s="634"/>
      <c r="GU29" s="634"/>
      <c r="GV29" s="634"/>
      <c r="GW29" s="634"/>
      <c r="GX29" s="634"/>
      <c r="GY29" s="634"/>
      <c r="GZ29" s="634"/>
      <c r="HA29" s="634"/>
      <c r="HB29" s="634"/>
      <c r="HC29" s="634"/>
      <c r="HD29" s="634"/>
      <c r="HE29" s="634"/>
      <c r="HF29" s="634"/>
      <c r="HG29" s="634"/>
      <c r="HH29" s="634"/>
      <c r="HI29" s="634"/>
      <c r="HJ29" s="634"/>
      <c r="HK29" s="634"/>
      <c r="HL29" s="634"/>
      <c r="HM29" s="634"/>
      <c r="HN29" s="634"/>
      <c r="HO29" s="634"/>
      <c r="HP29" s="634"/>
      <c r="HQ29" s="634"/>
      <c r="HR29" s="634"/>
      <c r="HS29" s="634"/>
      <c r="HT29" s="634"/>
      <c r="HU29" s="634"/>
      <c r="HV29" s="634"/>
      <c r="HW29" s="634"/>
      <c r="HX29" s="634"/>
      <c r="HY29" s="634"/>
      <c r="HZ29" s="634"/>
      <c r="IA29" s="634"/>
      <c r="IB29" s="634"/>
      <c r="IC29" s="634"/>
      <c r="ID29" s="634"/>
      <c r="IE29" s="634"/>
      <c r="IF29" s="634"/>
      <c r="IG29" s="634"/>
      <c r="IH29" s="634"/>
      <c r="II29" s="634"/>
      <c r="IJ29" s="634"/>
      <c r="IK29" s="634"/>
      <c r="IL29" s="634"/>
      <c r="IM29" s="634"/>
      <c r="IN29" s="634"/>
      <c r="IO29" s="634"/>
      <c r="IP29" s="634"/>
      <c r="IQ29" s="634"/>
      <c r="IR29" s="634"/>
      <c r="IS29" s="634"/>
      <c r="IT29" s="634"/>
      <c r="IU29" s="634"/>
      <c r="IV29" s="634"/>
      <c r="IW29" s="634"/>
    </row>
    <row r="30" customFormat="false" ht="15" hidden="false" customHeight="false" outlineLevel="0" collapsed="false">
      <c r="A30" s="620" t="s">
        <v>406</v>
      </c>
      <c r="B30" s="628" t="n">
        <f aca="false">B18</f>
        <v>900</v>
      </c>
      <c r="C30" s="626"/>
      <c r="D30" s="629" t="n">
        <f aca="false">$B30*D26</f>
        <v>30.0821917808219</v>
      </c>
      <c r="E30" s="629" t="n">
        <f aca="false">$B30*E26</f>
        <v>45</v>
      </c>
      <c r="F30" s="629" t="n">
        <f aca="false">$B30*F26</f>
        <v>45</v>
      </c>
      <c r="G30" s="629" t="n">
        <f aca="false">$B30*G26</f>
        <v>45</v>
      </c>
      <c r="H30" s="629" t="n">
        <f aca="false">$B30*H26</f>
        <v>45</v>
      </c>
      <c r="I30" s="629" t="n">
        <f aca="false">$B30*I26</f>
        <v>45</v>
      </c>
      <c r="J30" s="629" t="n">
        <f aca="false">$B30*J26</f>
        <v>45</v>
      </c>
      <c r="K30" s="629" t="n">
        <f aca="false">$B30*K26</f>
        <v>45</v>
      </c>
      <c r="L30" s="629" t="n">
        <f aca="false">$B30*L26</f>
        <v>45</v>
      </c>
      <c r="M30" s="629" t="n">
        <f aca="false">$B30*M26</f>
        <v>45</v>
      </c>
      <c r="N30" s="629" t="n">
        <f aca="false">$B30*N26</f>
        <v>45</v>
      </c>
      <c r="O30" s="629" t="n">
        <f aca="false">$B30*O26</f>
        <v>45</v>
      </c>
      <c r="P30" s="629" t="n">
        <f aca="false">$B30*P26</f>
        <v>45</v>
      </c>
      <c r="Q30" s="629" t="n">
        <f aca="false">$B30*Q26</f>
        <v>45</v>
      </c>
      <c r="R30" s="629" t="n">
        <f aca="false">$B30*R26</f>
        <v>45</v>
      </c>
      <c r="S30" s="629" t="n">
        <f aca="false">$B30*S26</f>
        <v>45</v>
      </c>
      <c r="T30" s="629" t="n">
        <f aca="false">$B30*T26</f>
        <v>45</v>
      </c>
      <c r="U30" s="629" t="n">
        <f aca="false">$B30*U26</f>
        <v>45</v>
      </c>
      <c r="V30" s="629" t="n">
        <f aca="false">$B30*V26</f>
        <v>45</v>
      </c>
      <c r="W30" s="629" t="n">
        <f aca="false">$B30*W26</f>
        <v>45</v>
      </c>
      <c r="X30" s="629" t="n">
        <f aca="false">$B30*X26</f>
        <v>0</v>
      </c>
      <c r="Y30" s="629" t="n">
        <f aca="false">$B30*Y26</f>
        <v>0</v>
      </c>
      <c r="Z30" s="629" t="n">
        <f aca="false">$B30*Z26</f>
        <v>0</v>
      </c>
      <c r="AA30" s="629" t="n">
        <f aca="false">$B30*AA26</f>
        <v>0</v>
      </c>
      <c r="AB30" s="629" t="n">
        <f aca="false">$B30*AB26</f>
        <v>0</v>
      </c>
      <c r="AC30" s="629" t="n">
        <f aca="false">$B30*AC26</f>
        <v>0</v>
      </c>
      <c r="AD30" s="629" t="n">
        <f aca="false">$B30*AD26</f>
        <v>0</v>
      </c>
      <c r="AE30" s="629" t="n">
        <f aca="false">$B30*AE26</f>
        <v>0</v>
      </c>
      <c r="AF30" s="629" t="n">
        <f aca="false">$B30*AF26</f>
        <v>0</v>
      </c>
      <c r="AG30" s="629" t="n">
        <f aca="false">$B30*AG26</f>
        <v>0</v>
      </c>
      <c r="AH30" s="629" t="n">
        <f aca="false">$B30*AH26</f>
        <v>0</v>
      </c>
      <c r="AI30" s="612"/>
      <c r="AJ30" s="612"/>
      <c r="AK30" s="612"/>
      <c r="AL30" s="612"/>
      <c r="AM30" s="612"/>
      <c r="AN30" s="612"/>
      <c r="AO30" s="612"/>
      <c r="AP30" s="612"/>
      <c r="AQ30" s="612"/>
      <c r="AR30" s="612"/>
      <c r="AS30" s="612"/>
      <c r="AT30" s="612"/>
      <c r="AU30" s="612"/>
      <c r="AV30" s="612"/>
      <c r="AW30" s="612"/>
      <c r="AX30" s="612"/>
      <c r="AY30" s="612"/>
      <c r="AZ30" s="612"/>
      <c r="BA30" s="612"/>
      <c r="BB30" s="612"/>
      <c r="BC30" s="612"/>
      <c r="BD30" s="612"/>
      <c r="BE30" s="612"/>
      <c r="BF30" s="612"/>
      <c r="BG30" s="612"/>
      <c r="BH30" s="612"/>
      <c r="BI30" s="612"/>
      <c r="BJ30" s="612"/>
      <c r="BK30" s="612"/>
      <c r="BL30" s="612"/>
      <c r="BM30" s="612"/>
      <c r="BN30" s="612"/>
      <c r="BO30" s="612"/>
      <c r="BP30" s="612"/>
      <c r="BQ30" s="612"/>
      <c r="BR30" s="612"/>
      <c r="BS30" s="612"/>
      <c r="BT30" s="612"/>
      <c r="BU30" s="612"/>
      <c r="BV30" s="612"/>
      <c r="BW30" s="612"/>
      <c r="BX30" s="612"/>
      <c r="BY30" s="612"/>
      <c r="BZ30" s="612"/>
      <c r="CA30" s="612"/>
      <c r="CB30" s="612"/>
      <c r="CC30" s="612"/>
      <c r="CD30" s="612"/>
      <c r="CE30" s="612"/>
      <c r="CF30" s="612"/>
      <c r="CG30" s="612"/>
      <c r="CH30" s="612"/>
      <c r="CI30" s="612"/>
      <c r="CJ30" s="612"/>
      <c r="CK30" s="612"/>
      <c r="CL30" s="612"/>
      <c r="CM30" s="612"/>
      <c r="CN30" s="612"/>
      <c r="CO30" s="612"/>
      <c r="CP30" s="612"/>
      <c r="CQ30" s="612"/>
      <c r="CR30" s="612"/>
      <c r="CS30" s="612"/>
      <c r="CT30" s="612"/>
      <c r="CU30" s="612"/>
      <c r="CV30" s="612"/>
      <c r="CW30" s="612"/>
      <c r="CX30" s="612"/>
      <c r="CY30" s="612"/>
      <c r="CZ30" s="612"/>
      <c r="DA30" s="612"/>
      <c r="DB30" s="612"/>
      <c r="DC30" s="612"/>
      <c r="DD30" s="612"/>
      <c r="DE30" s="612"/>
      <c r="DF30" s="612"/>
      <c r="DG30" s="612"/>
      <c r="DH30" s="612"/>
      <c r="DI30" s="612"/>
      <c r="DJ30" s="612"/>
      <c r="DK30" s="612"/>
      <c r="DL30" s="612"/>
      <c r="DM30" s="612"/>
      <c r="DN30" s="612"/>
      <c r="DO30" s="612"/>
      <c r="DP30" s="612"/>
      <c r="DQ30" s="612"/>
      <c r="DR30" s="612"/>
      <c r="DS30" s="612"/>
      <c r="DT30" s="612"/>
      <c r="DU30" s="612"/>
      <c r="DV30" s="612"/>
      <c r="DW30" s="612"/>
      <c r="DX30" s="612"/>
      <c r="DY30" s="612"/>
      <c r="DZ30" s="612"/>
      <c r="EA30" s="612"/>
      <c r="EB30" s="612"/>
      <c r="EC30" s="612"/>
      <c r="ED30" s="612"/>
      <c r="EE30" s="612"/>
      <c r="EF30" s="612"/>
      <c r="EG30" s="612"/>
      <c r="EH30" s="612"/>
      <c r="EI30" s="612"/>
      <c r="EJ30" s="612"/>
      <c r="EK30" s="612"/>
      <c r="EL30" s="612"/>
      <c r="EM30" s="612"/>
      <c r="EN30" s="612"/>
      <c r="EO30" s="612"/>
      <c r="EP30" s="612"/>
      <c r="EQ30" s="612"/>
      <c r="ER30" s="612"/>
      <c r="ES30" s="612"/>
      <c r="ET30" s="612"/>
      <c r="EU30" s="612"/>
      <c r="EV30" s="612"/>
      <c r="EW30" s="612"/>
      <c r="EX30" s="612"/>
      <c r="EY30" s="612"/>
      <c r="EZ30" s="612"/>
      <c r="FA30" s="612"/>
      <c r="FB30" s="612"/>
      <c r="FC30" s="612"/>
      <c r="FD30" s="612"/>
      <c r="FE30" s="612"/>
      <c r="FF30" s="612"/>
      <c r="FG30" s="612"/>
      <c r="FH30" s="612"/>
      <c r="FI30" s="612"/>
      <c r="FJ30" s="612"/>
      <c r="FK30" s="612"/>
      <c r="FL30" s="612"/>
      <c r="FM30" s="612"/>
      <c r="FN30" s="612"/>
      <c r="FO30" s="612"/>
      <c r="FP30" s="612"/>
      <c r="FQ30" s="612"/>
      <c r="FR30" s="612"/>
      <c r="FS30" s="612"/>
      <c r="FT30" s="612"/>
      <c r="FU30" s="612"/>
      <c r="FV30" s="612"/>
      <c r="FW30" s="612"/>
      <c r="FX30" s="612"/>
      <c r="FY30" s="612"/>
      <c r="FZ30" s="612"/>
      <c r="GA30" s="612"/>
      <c r="GB30" s="612"/>
      <c r="GC30" s="612"/>
      <c r="GD30" s="612"/>
      <c r="GE30" s="612"/>
      <c r="GF30" s="612"/>
      <c r="GG30" s="612"/>
      <c r="GH30" s="612"/>
      <c r="GI30" s="612"/>
      <c r="GJ30" s="612"/>
      <c r="GK30" s="612"/>
      <c r="GL30" s="612"/>
      <c r="GM30" s="612"/>
      <c r="GN30" s="612"/>
      <c r="GO30" s="612"/>
      <c r="GP30" s="612"/>
      <c r="GQ30" s="612"/>
      <c r="GR30" s="612"/>
      <c r="GS30" s="612"/>
      <c r="GT30" s="612"/>
      <c r="GU30" s="612"/>
      <c r="GV30" s="612"/>
      <c r="GW30" s="612"/>
      <c r="GX30" s="612"/>
      <c r="GY30" s="612"/>
      <c r="GZ30" s="612"/>
      <c r="HA30" s="612"/>
      <c r="HB30" s="612"/>
      <c r="HC30" s="612"/>
      <c r="HD30" s="612"/>
      <c r="HE30" s="612"/>
      <c r="HF30" s="612"/>
      <c r="HG30" s="612"/>
      <c r="HH30" s="612"/>
      <c r="HI30" s="612"/>
      <c r="HJ30" s="612"/>
      <c r="HK30" s="612"/>
      <c r="HL30" s="612"/>
      <c r="HM30" s="612"/>
      <c r="HN30" s="612"/>
      <c r="HO30" s="612"/>
      <c r="HP30" s="612"/>
      <c r="HQ30" s="612"/>
      <c r="HR30" s="612"/>
      <c r="HS30" s="612"/>
      <c r="HT30" s="612"/>
      <c r="HU30" s="612"/>
      <c r="HV30" s="612"/>
      <c r="HW30" s="612"/>
      <c r="HX30" s="612"/>
      <c r="HY30" s="612"/>
      <c r="HZ30" s="612"/>
      <c r="IA30" s="612"/>
      <c r="IB30" s="612"/>
      <c r="IC30" s="612"/>
      <c r="ID30" s="612"/>
      <c r="IE30" s="612"/>
      <c r="IF30" s="612"/>
      <c r="IG30" s="612"/>
      <c r="IH30" s="612"/>
      <c r="II30" s="612"/>
      <c r="IJ30" s="612"/>
      <c r="IK30" s="612"/>
      <c r="IL30" s="612"/>
      <c r="IM30" s="612"/>
      <c r="IN30" s="612"/>
      <c r="IO30" s="612"/>
      <c r="IP30" s="612"/>
      <c r="IQ30" s="612"/>
      <c r="IR30" s="612"/>
      <c r="IS30" s="612"/>
      <c r="IT30" s="612"/>
      <c r="IU30" s="612"/>
      <c r="IV30" s="612"/>
      <c r="IW30" s="612"/>
    </row>
    <row r="31" customFormat="false" ht="12.75" hidden="false" customHeight="false" outlineLevel="0" collapsed="false">
      <c r="A31" s="631" t="s">
        <v>408</v>
      </c>
      <c r="B31" s="625" t="n">
        <f aca="false">SUM(B29:B30)</f>
        <v>127515.782155181</v>
      </c>
      <c r="C31" s="626"/>
      <c r="D31" s="627" t="n">
        <f aca="false">SUM(D29:D30)</f>
        <v>6360.87129953989</v>
      </c>
      <c r="E31" s="627" t="n">
        <f aca="false">SUM(E29:E30)</f>
        <v>12073.4993047422</v>
      </c>
      <c r="F31" s="627" t="n">
        <f aca="false">SUM(F29:F30)</f>
        <v>10870.649374268</v>
      </c>
      <c r="G31" s="627" t="n">
        <f aca="false">SUM(G29:G30)</f>
        <v>9794.41522594896</v>
      </c>
      <c r="H31" s="627" t="n">
        <f aca="false">SUM(H29:H30)</f>
        <v>8819.47370335406</v>
      </c>
      <c r="I31" s="627" t="n">
        <f aca="false">SUM(I29:I30)</f>
        <v>7933.16322826779</v>
      </c>
      <c r="J31" s="627" t="n">
        <f aca="false">SUM(J29:J30)</f>
        <v>7515.33114715569</v>
      </c>
      <c r="K31" s="627" t="n">
        <f aca="false">SUM(K29:K30)</f>
        <v>7527.99272537121</v>
      </c>
      <c r="L31" s="627" t="n">
        <f aca="false">SUM(L29:L30)</f>
        <v>7515.33114715569</v>
      </c>
      <c r="M31" s="627" t="n">
        <f aca="false">SUM(M29:M30)</f>
        <v>7527.99272537121</v>
      </c>
      <c r="N31" s="627" t="n">
        <f aca="false">SUM(N29:N30)</f>
        <v>7515.33114715569</v>
      </c>
      <c r="O31" s="627" t="n">
        <f aca="false">SUM(O29:O30)</f>
        <v>7527.99272537121</v>
      </c>
      <c r="P31" s="627" t="n">
        <f aca="false">SUM(P29:P30)</f>
        <v>7515.33114715569</v>
      </c>
      <c r="Q31" s="627" t="n">
        <f aca="false">SUM(Q29:Q30)</f>
        <v>7527.99272537121</v>
      </c>
      <c r="R31" s="627" t="n">
        <f aca="false">SUM(R29:R30)</f>
        <v>7515.33114715569</v>
      </c>
      <c r="S31" s="627" t="n">
        <f aca="false">SUM(S29:S30)</f>
        <v>3780.16557357785</v>
      </c>
      <c r="T31" s="627" t="n">
        <f aca="false">SUM(T29:T30)</f>
        <v>45</v>
      </c>
      <c r="U31" s="627" t="n">
        <f aca="false">SUM(U29:U30)</f>
        <v>45</v>
      </c>
      <c r="V31" s="627" t="n">
        <f aca="false">SUM(V29:V30)</f>
        <v>45</v>
      </c>
      <c r="W31" s="627" t="n">
        <f aca="false">SUM(W29:W30)</f>
        <v>45</v>
      </c>
      <c r="X31" s="627" t="n">
        <f aca="false">SUM(X29:X30)</f>
        <v>0</v>
      </c>
      <c r="Y31" s="627" t="n">
        <f aca="false">SUM(Y29:Y30)</f>
        <v>0</v>
      </c>
      <c r="Z31" s="627" t="n">
        <f aca="false">SUM(Z29:Z30)</f>
        <v>0</v>
      </c>
      <c r="AA31" s="627" t="n">
        <f aca="false">SUM(AA29:AA30)</f>
        <v>0</v>
      </c>
      <c r="AB31" s="627" t="n">
        <f aca="false">SUM(AB29:AB30)</f>
        <v>0</v>
      </c>
      <c r="AC31" s="627" t="n">
        <f aca="false">SUM(AC29:AC30)</f>
        <v>0</v>
      </c>
      <c r="AD31" s="627" t="n">
        <f aca="false">SUM(AD29:AD30)</f>
        <v>0</v>
      </c>
      <c r="AE31" s="627" t="n">
        <f aca="false">SUM(AE29:AE30)</f>
        <v>0</v>
      </c>
      <c r="AF31" s="627" t="n">
        <f aca="false">SUM(AF29:AF30)</f>
        <v>0</v>
      </c>
      <c r="AG31" s="627" t="n">
        <f aca="false">SUM(AG29:AG30)</f>
        <v>0</v>
      </c>
      <c r="AH31" s="627" t="n">
        <f aca="false">SUM(AH29:AH30)</f>
        <v>0</v>
      </c>
      <c r="AI31" s="612"/>
      <c r="AJ31" s="612"/>
      <c r="AK31" s="612"/>
      <c r="AL31" s="612"/>
      <c r="AM31" s="612"/>
      <c r="AN31" s="612"/>
      <c r="AO31" s="612"/>
      <c r="AP31" s="612"/>
      <c r="AQ31" s="612"/>
      <c r="AR31" s="612"/>
      <c r="AS31" s="612"/>
      <c r="AT31" s="612"/>
      <c r="AU31" s="612"/>
      <c r="AV31" s="612"/>
      <c r="AW31" s="612"/>
      <c r="AX31" s="612"/>
      <c r="AY31" s="612"/>
      <c r="AZ31" s="612"/>
      <c r="BA31" s="612"/>
      <c r="BB31" s="612"/>
      <c r="BC31" s="612"/>
      <c r="BD31" s="612"/>
      <c r="BE31" s="612"/>
      <c r="BF31" s="612"/>
      <c r="BG31" s="612"/>
      <c r="BH31" s="612"/>
      <c r="BI31" s="612"/>
      <c r="BJ31" s="612"/>
      <c r="BK31" s="612"/>
      <c r="BL31" s="612"/>
      <c r="BM31" s="612"/>
      <c r="BN31" s="612"/>
      <c r="BO31" s="612"/>
      <c r="BP31" s="612"/>
      <c r="BQ31" s="612"/>
      <c r="BR31" s="612"/>
      <c r="BS31" s="612"/>
      <c r="BT31" s="612"/>
      <c r="BU31" s="612"/>
      <c r="BV31" s="612"/>
      <c r="BW31" s="612"/>
      <c r="BX31" s="612"/>
      <c r="BY31" s="612"/>
      <c r="BZ31" s="612"/>
      <c r="CA31" s="612"/>
      <c r="CB31" s="612"/>
      <c r="CC31" s="612"/>
      <c r="CD31" s="612"/>
      <c r="CE31" s="612"/>
      <c r="CF31" s="612"/>
      <c r="CG31" s="612"/>
      <c r="CH31" s="612"/>
      <c r="CI31" s="612"/>
      <c r="CJ31" s="612"/>
      <c r="CK31" s="612"/>
      <c r="CL31" s="612"/>
      <c r="CM31" s="612"/>
      <c r="CN31" s="612"/>
      <c r="CO31" s="612"/>
      <c r="CP31" s="612"/>
      <c r="CQ31" s="612"/>
      <c r="CR31" s="612"/>
      <c r="CS31" s="612"/>
      <c r="CT31" s="612"/>
      <c r="CU31" s="612"/>
      <c r="CV31" s="612"/>
      <c r="CW31" s="612"/>
      <c r="CX31" s="612"/>
      <c r="CY31" s="612"/>
      <c r="CZ31" s="612"/>
      <c r="DA31" s="612"/>
      <c r="DB31" s="612"/>
      <c r="DC31" s="612"/>
      <c r="DD31" s="612"/>
      <c r="DE31" s="612"/>
      <c r="DF31" s="612"/>
      <c r="DG31" s="612"/>
      <c r="DH31" s="612"/>
      <c r="DI31" s="612"/>
      <c r="DJ31" s="612"/>
      <c r="DK31" s="612"/>
      <c r="DL31" s="612"/>
      <c r="DM31" s="612"/>
      <c r="DN31" s="612"/>
      <c r="DO31" s="612"/>
      <c r="DP31" s="612"/>
      <c r="DQ31" s="612"/>
      <c r="DR31" s="612"/>
      <c r="DS31" s="612"/>
      <c r="DT31" s="612"/>
      <c r="DU31" s="612"/>
      <c r="DV31" s="612"/>
      <c r="DW31" s="612"/>
      <c r="DX31" s="612"/>
      <c r="DY31" s="612"/>
      <c r="DZ31" s="612"/>
      <c r="EA31" s="612"/>
      <c r="EB31" s="612"/>
      <c r="EC31" s="612"/>
      <c r="ED31" s="612"/>
      <c r="EE31" s="612"/>
      <c r="EF31" s="612"/>
      <c r="EG31" s="612"/>
      <c r="EH31" s="612"/>
      <c r="EI31" s="612"/>
      <c r="EJ31" s="612"/>
      <c r="EK31" s="612"/>
      <c r="EL31" s="612"/>
      <c r="EM31" s="612"/>
      <c r="EN31" s="612"/>
      <c r="EO31" s="612"/>
      <c r="EP31" s="612"/>
      <c r="EQ31" s="612"/>
      <c r="ER31" s="612"/>
      <c r="ES31" s="612"/>
      <c r="ET31" s="612"/>
      <c r="EU31" s="612"/>
      <c r="EV31" s="612"/>
      <c r="EW31" s="612"/>
      <c r="EX31" s="612"/>
      <c r="EY31" s="612"/>
      <c r="EZ31" s="612"/>
      <c r="FA31" s="612"/>
      <c r="FB31" s="612"/>
      <c r="FC31" s="612"/>
      <c r="FD31" s="612"/>
      <c r="FE31" s="612"/>
      <c r="FF31" s="612"/>
      <c r="FG31" s="612"/>
      <c r="FH31" s="612"/>
      <c r="FI31" s="612"/>
      <c r="FJ31" s="612"/>
      <c r="FK31" s="612"/>
      <c r="FL31" s="612"/>
      <c r="FM31" s="612"/>
      <c r="FN31" s="612"/>
      <c r="FO31" s="612"/>
      <c r="FP31" s="612"/>
      <c r="FQ31" s="612"/>
      <c r="FR31" s="612"/>
      <c r="FS31" s="612"/>
      <c r="FT31" s="612"/>
      <c r="FU31" s="612"/>
      <c r="FV31" s="612"/>
      <c r="FW31" s="612"/>
      <c r="FX31" s="612"/>
      <c r="FY31" s="612"/>
      <c r="FZ31" s="612"/>
      <c r="GA31" s="612"/>
      <c r="GB31" s="612"/>
      <c r="GC31" s="612"/>
      <c r="GD31" s="612"/>
      <c r="GE31" s="612"/>
      <c r="GF31" s="612"/>
      <c r="GG31" s="612"/>
      <c r="GH31" s="612"/>
      <c r="GI31" s="612"/>
      <c r="GJ31" s="612"/>
      <c r="GK31" s="612"/>
      <c r="GL31" s="612"/>
      <c r="GM31" s="612"/>
      <c r="GN31" s="612"/>
      <c r="GO31" s="612"/>
      <c r="GP31" s="612"/>
      <c r="GQ31" s="612"/>
      <c r="GR31" s="612"/>
      <c r="GS31" s="612"/>
      <c r="GT31" s="612"/>
      <c r="GU31" s="612"/>
      <c r="GV31" s="612"/>
      <c r="GW31" s="612"/>
      <c r="GX31" s="612"/>
      <c r="GY31" s="612"/>
      <c r="GZ31" s="612"/>
      <c r="HA31" s="612"/>
      <c r="HB31" s="612"/>
      <c r="HC31" s="612"/>
      <c r="HD31" s="612"/>
      <c r="HE31" s="612"/>
      <c r="HF31" s="612"/>
      <c r="HG31" s="612"/>
      <c r="HH31" s="612"/>
      <c r="HI31" s="612"/>
      <c r="HJ31" s="612"/>
      <c r="HK31" s="612"/>
      <c r="HL31" s="612"/>
      <c r="HM31" s="612"/>
      <c r="HN31" s="612"/>
      <c r="HO31" s="612"/>
      <c r="HP31" s="612"/>
      <c r="HQ31" s="612"/>
      <c r="HR31" s="612"/>
      <c r="HS31" s="612"/>
      <c r="HT31" s="612"/>
      <c r="HU31" s="612"/>
      <c r="HV31" s="612"/>
      <c r="HW31" s="612"/>
      <c r="HX31" s="612"/>
      <c r="HY31" s="612"/>
      <c r="HZ31" s="612"/>
      <c r="IA31" s="612"/>
      <c r="IB31" s="612"/>
      <c r="IC31" s="612"/>
      <c r="ID31" s="612"/>
      <c r="IE31" s="612"/>
      <c r="IF31" s="612"/>
      <c r="IG31" s="612"/>
      <c r="IH31" s="612"/>
      <c r="II31" s="612"/>
      <c r="IJ31" s="612"/>
      <c r="IK31" s="612"/>
      <c r="IL31" s="612"/>
      <c r="IM31" s="612"/>
      <c r="IN31" s="612"/>
      <c r="IO31" s="612"/>
      <c r="IP31" s="612"/>
      <c r="IQ31" s="612"/>
      <c r="IR31" s="612"/>
      <c r="IS31" s="612"/>
      <c r="IT31" s="612"/>
      <c r="IU31" s="612"/>
      <c r="IV31" s="612"/>
      <c r="IW31" s="612"/>
    </row>
    <row r="32" customFormat="false" ht="12.75" hidden="false" customHeight="false" outlineLevel="0" collapsed="false">
      <c r="A32" s="631"/>
      <c r="AI32" s="612"/>
      <c r="AJ32" s="612"/>
      <c r="AK32" s="612"/>
      <c r="AL32" s="612"/>
      <c r="AM32" s="612"/>
      <c r="AN32" s="612"/>
      <c r="AO32" s="612"/>
      <c r="AP32" s="612"/>
      <c r="AQ32" s="612"/>
      <c r="AR32" s="612"/>
      <c r="AS32" s="612"/>
      <c r="AT32" s="612"/>
      <c r="AU32" s="612"/>
      <c r="AV32" s="612"/>
      <c r="AW32" s="612"/>
      <c r="AX32" s="612"/>
      <c r="AY32" s="612"/>
      <c r="AZ32" s="612"/>
      <c r="BA32" s="612"/>
      <c r="BB32" s="612"/>
      <c r="BC32" s="612"/>
      <c r="BD32" s="612"/>
      <c r="BE32" s="612"/>
      <c r="BF32" s="612"/>
      <c r="BG32" s="612"/>
      <c r="BH32" s="612"/>
      <c r="BI32" s="612"/>
      <c r="BJ32" s="612"/>
      <c r="BK32" s="612"/>
      <c r="BL32" s="612"/>
      <c r="BM32" s="612"/>
      <c r="BN32" s="612"/>
      <c r="BO32" s="612"/>
      <c r="BP32" s="612"/>
      <c r="BQ32" s="612"/>
      <c r="BR32" s="612"/>
      <c r="BS32" s="612"/>
      <c r="BT32" s="612"/>
      <c r="BU32" s="612"/>
      <c r="BV32" s="612"/>
      <c r="BW32" s="612"/>
      <c r="BX32" s="612"/>
      <c r="BY32" s="612"/>
      <c r="BZ32" s="612"/>
      <c r="CA32" s="612"/>
      <c r="CB32" s="612"/>
      <c r="CC32" s="612"/>
      <c r="CD32" s="612"/>
      <c r="CE32" s="612"/>
      <c r="CF32" s="612"/>
      <c r="CG32" s="612"/>
      <c r="CH32" s="612"/>
      <c r="CI32" s="612"/>
      <c r="CJ32" s="612"/>
      <c r="CK32" s="612"/>
      <c r="CL32" s="612"/>
      <c r="CM32" s="612"/>
      <c r="CN32" s="612"/>
      <c r="CO32" s="612"/>
      <c r="CP32" s="612"/>
      <c r="CQ32" s="612"/>
      <c r="CR32" s="612"/>
      <c r="CS32" s="612"/>
      <c r="CT32" s="612"/>
      <c r="CU32" s="612"/>
      <c r="CV32" s="612"/>
      <c r="CW32" s="612"/>
      <c r="CX32" s="612"/>
      <c r="CY32" s="612"/>
      <c r="CZ32" s="612"/>
      <c r="DA32" s="612"/>
      <c r="DB32" s="612"/>
      <c r="DC32" s="612"/>
      <c r="DD32" s="612"/>
      <c r="DE32" s="612"/>
      <c r="DF32" s="612"/>
      <c r="DG32" s="612"/>
      <c r="DH32" s="612"/>
      <c r="DI32" s="612"/>
      <c r="DJ32" s="612"/>
      <c r="DK32" s="612"/>
      <c r="DL32" s="612"/>
      <c r="DM32" s="612"/>
      <c r="DN32" s="612"/>
      <c r="DO32" s="612"/>
      <c r="DP32" s="612"/>
      <c r="DQ32" s="612"/>
      <c r="DR32" s="612"/>
      <c r="DS32" s="612"/>
      <c r="DT32" s="612"/>
      <c r="DU32" s="612"/>
      <c r="DV32" s="612"/>
      <c r="DW32" s="612"/>
      <c r="DX32" s="612"/>
      <c r="DY32" s="612"/>
      <c r="DZ32" s="612"/>
      <c r="EA32" s="612"/>
      <c r="EB32" s="612"/>
      <c r="EC32" s="612"/>
      <c r="ED32" s="612"/>
      <c r="EE32" s="612"/>
      <c r="EF32" s="612"/>
      <c r="EG32" s="612"/>
      <c r="EH32" s="612"/>
      <c r="EI32" s="612"/>
      <c r="EJ32" s="612"/>
      <c r="EK32" s="612"/>
      <c r="EL32" s="612"/>
      <c r="EM32" s="612"/>
      <c r="EN32" s="612"/>
      <c r="EO32" s="612"/>
      <c r="EP32" s="612"/>
      <c r="EQ32" s="612"/>
      <c r="ER32" s="612"/>
      <c r="ES32" s="612"/>
      <c r="ET32" s="612"/>
      <c r="EU32" s="612"/>
      <c r="EV32" s="612"/>
      <c r="EW32" s="612"/>
      <c r="EX32" s="612"/>
      <c r="EY32" s="612"/>
      <c r="EZ32" s="612"/>
      <c r="FA32" s="612"/>
      <c r="FB32" s="612"/>
      <c r="FC32" s="612"/>
      <c r="FD32" s="612"/>
      <c r="FE32" s="612"/>
      <c r="FF32" s="612"/>
      <c r="FG32" s="612"/>
      <c r="FH32" s="612"/>
      <c r="FI32" s="612"/>
      <c r="FJ32" s="612"/>
      <c r="FK32" s="612"/>
      <c r="FL32" s="612"/>
      <c r="FM32" s="612"/>
      <c r="FN32" s="612"/>
      <c r="FO32" s="612"/>
      <c r="FP32" s="612"/>
      <c r="FQ32" s="612"/>
      <c r="FR32" s="612"/>
      <c r="FS32" s="612"/>
      <c r="FT32" s="612"/>
      <c r="FU32" s="612"/>
      <c r="FV32" s="612"/>
      <c r="FW32" s="612"/>
      <c r="FX32" s="612"/>
      <c r="FY32" s="612"/>
      <c r="FZ32" s="612"/>
      <c r="GA32" s="612"/>
      <c r="GB32" s="612"/>
      <c r="GC32" s="612"/>
      <c r="GD32" s="612"/>
      <c r="GE32" s="612"/>
      <c r="GF32" s="612"/>
      <c r="GG32" s="612"/>
      <c r="GH32" s="612"/>
      <c r="GI32" s="612"/>
      <c r="GJ32" s="612"/>
      <c r="GK32" s="612"/>
      <c r="GL32" s="612"/>
      <c r="GM32" s="612"/>
      <c r="GN32" s="612"/>
      <c r="GO32" s="612"/>
      <c r="GP32" s="612"/>
      <c r="GQ32" s="612"/>
      <c r="GR32" s="612"/>
      <c r="GS32" s="612"/>
      <c r="GT32" s="612"/>
      <c r="GU32" s="612"/>
      <c r="GV32" s="612"/>
      <c r="GW32" s="612"/>
      <c r="GX32" s="612"/>
      <c r="GY32" s="612"/>
      <c r="GZ32" s="612"/>
      <c r="HA32" s="612"/>
      <c r="HB32" s="612"/>
      <c r="HC32" s="612"/>
      <c r="HD32" s="612"/>
      <c r="HE32" s="612"/>
      <c r="HF32" s="612"/>
      <c r="HG32" s="612"/>
      <c r="HH32" s="612"/>
      <c r="HI32" s="612"/>
      <c r="HJ32" s="612"/>
      <c r="HK32" s="612"/>
      <c r="HL32" s="612"/>
      <c r="HM32" s="612"/>
      <c r="HN32" s="612"/>
      <c r="HO32" s="612"/>
      <c r="HP32" s="612"/>
      <c r="HQ32" s="612"/>
      <c r="HR32" s="612"/>
      <c r="HS32" s="612"/>
      <c r="HT32" s="612"/>
      <c r="HU32" s="612"/>
      <c r="HV32" s="612"/>
      <c r="HW32" s="612"/>
      <c r="HX32" s="612"/>
      <c r="HY32" s="612"/>
      <c r="HZ32" s="612"/>
      <c r="IA32" s="612"/>
      <c r="IB32" s="612"/>
      <c r="IC32" s="612"/>
      <c r="ID32" s="612"/>
      <c r="IE32" s="612"/>
      <c r="IF32" s="612"/>
      <c r="IG32" s="612"/>
      <c r="IH32" s="612"/>
      <c r="II32" s="612"/>
      <c r="IJ32" s="612"/>
      <c r="IK32" s="612"/>
      <c r="IL32" s="612"/>
      <c r="IM32" s="612"/>
      <c r="IN32" s="612"/>
      <c r="IO32" s="612"/>
      <c r="IP32" s="612"/>
      <c r="IQ32" s="612"/>
      <c r="IR32" s="612"/>
      <c r="IS32" s="612"/>
      <c r="IT32" s="612"/>
      <c r="IU32" s="612"/>
      <c r="IV32" s="612"/>
      <c r="IW32" s="612"/>
    </row>
    <row r="33" customFormat="false" ht="12.75" hidden="false" customHeight="false" outlineLevel="0" collapsed="false">
      <c r="A33" s="1" t="s">
        <v>409</v>
      </c>
      <c r="B33" s="357" t="n">
        <f aca="false">B31</f>
        <v>127515.782155181</v>
      </c>
      <c r="D33" s="334" t="n">
        <f aca="false">B31-D31</f>
        <v>121154.910855641</v>
      </c>
      <c r="E33" s="334" t="n">
        <f aca="false">D33-E31</f>
        <v>109081.411550899</v>
      </c>
      <c r="F33" s="334" t="n">
        <f aca="false">E33-F31</f>
        <v>98210.7621766312</v>
      </c>
      <c r="G33" s="334" t="n">
        <f aca="false">F33-G31</f>
        <v>88416.3469506822</v>
      </c>
      <c r="H33" s="334" t="n">
        <f aca="false">G33-H31</f>
        <v>79596.8732473281</v>
      </c>
      <c r="I33" s="334" t="n">
        <f aca="false">H33-I31</f>
        <v>71663.7100190604</v>
      </c>
      <c r="J33" s="334" t="n">
        <f aca="false">I33-J31</f>
        <v>64148.3788719047</v>
      </c>
      <c r="K33" s="334" t="n">
        <f aca="false">J33-K31</f>
        <v>56620.3861465334</v>
      </c>
      <c r="L33" s="334" t="n">
        <f aca="false">K33-L31</f>
        <v>49105.0549993777</v>
      </c>
      <c r="M33" s="334" t="n">
        <f aca="false">L33-M31</f>
        <v>41577.0622740065</v>
      </c>
      <c r="N33" s="334" t="n">
        <f aca="false">M33-N31</f>
        <v>34061.7311268508</v>
      </c>
      <c r="O33" s="334" t="n">
        <f aca="false">N33-O31</f>
        <v>26533.7384014796</v>
      </c>
      <c r="P33" s="334" t="n">
        <f aca="false">O33-P31</f>
        <v>19018.4072543239</v>
      </c>
      <c r="Q33" s="334" t="n">
        <f aca="false">P33-Q31</f>
        <v>11490.4145289527</v>
      </c>
      <c r="R33" s="334" t="n">
        <f aca="false">Q33-R31</f>
        <v>3975.08338179702</v>
      </c>
      <c r="S33" s="334" t="n">
        <f aca="false">R33-S31</f>
        <v>194.917808219173</v>
      </c>
      <c r="T33" s="334" t="n">
        <f aca="false">S33-T31</f>
        <v>149.917808219173</v>
      </c>
      <c r="U33" s="334" t="n">
        <f aca="false">T33-U31</f>
        <v>104.917808219173</v>
      </c>
      <c r="V33" s="334" t="n">
        <f aca="false">U33-V31</f>
        <v>59.9178082191734</v>
      </c>
      <c r="W33" s="334" t="n">
        <f aca="false">V33-W31</f>
        <v>14.9178082191734</v>
      </c>
      <c r="X33" s="334" t="n">
        <f aca="false">W33-X31</f>
        <v>14.9178082191734</v>
      </c>
      <c r="Y33" s="334" t="n">
        <f aca="false">X33-Y31</f>
        <v>14.9178082191734</v>
      </c>
      <c r="Z33" s="334" t="n">
        <f aca="false">Y33-Z31</f>
        <v>14.9178082191734</v>
      </c>
      <c r="AA33" s="334" t="n">
        <f aca="false">Z33-AA31</f>
        <v>14.9178082191734</v>
      </c>
      <c r="AB33" s="334" t="n">
        <f aca="false">AA33-AB31</f>
        <v>14.9178082191734</v>
      </c>
      <c r="AC33" s="334" t="n">
        <f aca="false">AB33-AC31</f>
        <v>14.9178082191734</v>
      </c>
      <c r="AD33" s="334" t="n">
        <f aca="false">AC33-AD31</f>
        <v>14.9178082191734</v>
      </c>
      <c r="AE33" s="334" t="n">
        <f aca="false">AD33-AE31</f>
        <v>14.9178082191734</v>
      </c>
      <c r="AF33" s="334" t="n">
        <f aca="false">AE33-AF31</f>
        <v>14.9178082191734</v>
      </c>
      <c r="AG33" s="334" t="n">
        <f aca="false">AF33-AG31</f>
        <v>14.9178082191734</v>
      </c>
      <c r="AH33" s="334" t="n">
        <f aca="false">AG33-AH31</f>
        <v>14.9178082191734</v>
      </c>
      <c r="AI33" s="612"/>
      <c r="AJ33" s="612"/>
      <c r="AK33" s="612"/>
      <c r="AL33" s="612"/>
      <c r="AM33" s="612"/>
      <c r="AN33" s="612"/>
      <c r="AO33" s="612"/>
      <c r="AP33" s="612"/>
      <c r="AQ33" s="612"/>
      <c r="AR33" s="612"/>
      <c r="AS33" s="612"/>
      <c r="AT33" s="612"/>
      <c r="AU33" s="612"/>
      <c r="AV33" s="612"/>
      <c r="AW33" s="612"/>
      <c r="AX33" s="612"/>
      <c r="AY33" s="612"/>
      <c r="AZ33" s="612"/>
      <c r="BA33" s="612"/>
      <c r="BB33" s="612"/>
      <c r="BC33" s="612"/>
      <c r="BD33" s="612"/>
      <c r="BE33" s="612"/>
      <c r="BF33" s="612"/>
      <c r="BG33" s="612"/>
      <c r="BH33" s="612"/>
      <c r="BI33" s="612"/>
      <c r="BJ33" s="612"/>
      <c r="BK33" s="612"/>
      <c r="BL33" s="612"/>
      <c r="BM33" s="612"/>
      <c r="BN33" s="612"/>
      <c r="BO33" s="612"/>
      <c r="BP33" s="612"/>
      <c r="BQ33" s="612"/>
      <c r="BR33" s="612"/>
      <c r="BS33" s="612"/>
      <c r="BT33" s="612"/>
      <c r="BU33" s="612"/>
      <c r="BV33" s="612"/>
      <c r="BW33" s="612"/>
      <c r="BX33" s="612"/>
      <c r="BY33" s="612"/>
      <c r="BZ33" s="612"/>
      <c r="CA33" s="612"/>
      <c r="CB33" s="612"/>
      <c r="CC33" s="612"/>
      <c r="CD33" s="612"/>
      <c r="CE33" s="612"/>
      <c r="CF33" s="612"/>
      <c r="CG33" s="612"/>
      <c r="CH33" s="612"/>
      <c r="CI33" s="612"/>
      <c r="CJ33" s="612"/>
      <c r="CK33" s="612"/>
      <c r="CL33" s="612"/>
      <c r="CM33" s="612"/>
      <c r="CN33" s="612"/>
      <c r="CO33" s="612"/>
      <c r="CP33" s="612"/>
      <c r="CQ33" s="612"/>
      <c r="CR33" s="612"/>
      <c r="CS33" s="612"/>
      <c r="CT33" s="612"/>
      <c r="CU33" s="612"/>
      <c r="CV33" s="612"/>
      <c r="CW33" s="612"/>
      <c r="CX33" s="612"/>
      <c r="CY33" s="612"/>
      <c r="CZ33" s="612"/>
      <c r="DA33" s="612"/>
      <c r="DB33" s="612"/>
      <c r="DC33" s="612"/>
      <c r="DD33" s="612"/>
      <c r="DE33" s="612"/>
      <c r="DF33" s="612"/>
      <c r="DG33" s="612"/>
      <c r="DH33" s="612"/>
      <c r="DI33" s="612"/>
      <c r="DJ33" s="612"/>
      <c r="DK33" s="612"/>
      <c r="DL33" s="612"/>
      <c r="DM33" s="612"/>
      <c r="DN33" s="612"/>
      <c r="DO33" s="612"/>
      <c r="DP33" s="612"/>
      <c r="DQ33" s="612"/>
      <c r="DR33" s="612"/>
      <c r="DS33" s="612"/>
      <c r="DT33" s="612"/>
      <c r="DU33" s="612"/>
      <c r="DV33" s="612"/>
      <c r="DW33" s="612"/>
      <c r="DX33" s="612"/>
      <c r="DY33" s="612"/>
      <c r="DZ33" s="612"/>
      <c r="EA33" s="612"/>
      <c r="EB33" s="612"/>
      <c r="EC33" s="612"/>
      <c r="ED33" s="612"/>
      <c r="EE33" s="612"/>
      <c r="EF33" s="612"/>
      <c r="EG33" s="612"/>
      <c r="EH33" s="612"/>
      <c r="EI33" s="612"/>
      <c r="EJ33" s="612"/>
      <c r="EK33" s="612"/>
      <c r="EL33" s="612"/>
      <c r="EM33" s="612"/>
      <c r="EN33" s="612"/>
      <c r="EO33" s="612"/>
      <c r="EP33" s="612"/>
      <c r="EQ33" s="612"/>
      <c r="ER33" s="612"/>
      <c r="ES33" s="612"/>
      <c r="ET33" s="612"/>
      <c r="EU33" s="612"/>
      <c r="EV33" s="612"/>
      <c r="EW33" s="612"/>
      <c r="EX33" s="612"/>
      <c r="EY33" s="612"/>
      <c r="EZ33" s="612"/>
      <c r="FA33" s="612"/>
      <c r="FB33" s="612"/>
      <c r="FC33" s="612"/>
      <c r="FD33" s="612"/>
      <c r="FE33" s="612"/>
      <c r="FF33" s="612"/>
      <c r="FG33" s="612"/>
      <c r="FH33" s="612"/>
      <c r="FI33" s="612"/>
      <c r="FJ33" s="612"/>
      <c r="FK33" s="612"/>
      <c r="FL33" s="612"/>
      <c r="FM33" s="612"/>
      <c r="FN33" s="612"/>
      <c r="FO33" s="612"/>
      <c r="FP33" s="612"/>
      <c r="FQ33" s="612"/>
      <c r="FR33" s="612"/>
      <c r="FS33" s="612"/>
      <c r="FT33" s="612"/>
      <c r="FU33" s="612"/>
      <c r="FV33" s="612"/>
      <c r="FW33" s="612"/>
      <c r="FX33" s="612"/>
      <c r="FY33" s="612"/>
      <c r="FZ33" s="612"/>
      <c r="GA33" s="612"/>
      <c r="GB33" s="612"/>
      <c r="GC33" s="612"/>
      <c r="GD33" s="612"/>
      <c r="GE33" s="612"/>
      <c r="GF33" s="612"/>
      <c r="GG33" s="612"/>
      <c r="GH33" s="612"/>
      <c r="GI33" s="612"/>
      <c r="GJ33" s="612"/>
      <c r="GK33" s="612"/>
      <c r="GL33" s="612"/>
      <c r="GM33" s="612"/>
      <c r="GN33" s="612"/>
      <c r="GO33" s="612"/>
      <c r="GP33" s="612"/>
      <c r="GQ33" s="612"/>
      <c r="GR33" s="612"/>
      <c r="GS33" s="612"/>
      <c r="GT33" s="612"/>
      <c r="GU33" s="612"/>
      <c r="GV33" s="612"/>
      <c r="GW33" s="612"/>
      <c r="GX33" s="612"/>
      <c r="GY33" s="612"/>
      <c r="GZ33" s="612"/>
      <c r="HA33" s="612"/>
      <c r="HB33" s="612"/>
      <c r="HC33" s="612"/>
      <c r="HD33" s="612"/>
      <c r="HE33" s="612"/>
      <c r="HF33" s="612"/>
      <c r="HG33" s="612"/>
      <c r="HH33" s="612"/>
      <c r="HI33" s="612"/>
      <c r="HJ33" s="612"/>
      <c r="HK33" s="612"/>
      <c r="HL33" s="612"/>
      <c r="HM33" s="612"/>
      <c r="HN33" s="612"/>
      <c r="HO33" s="612"/>
      <c r="HP33" s="612"/>
      <c r="HQ33" s="612"/>
      <c r="HR33" s="612"/>
      <c r="HS33" s="612"/>
      <c r="HT33" s="612"/>
      <c r="HU33" s="612"/>
      <c r="HV33" s="612"/>
      <c r="HW33" s="612"/>
      <c r="HX33" s="612"/>
      <c r="HY33" s="612"/>
      <c r="HZ33" s="612"/>
      <c r="IA33" s="612"/>
      <c r="IB33" s="612"/>
      <c r="IC33" s="612"/>
      <c r="ID33" s="612"/>
      <c r="IE33" s="612"/>
      <c r="IF33" s="612"/>
      <c r="IG33" s="612"/>
      <c r="IH33" s="612"/>
      <c r="II33" s="612"/>
      <c r="IJ33" s="612"/>
      <c r="IK33" s="612"/>
      <c r="IL33" s="612"/>
      <c r="IM33" s="612"/>
      <c r="IN33" s="612"/>
      <c r="IO33" s="612"/>
      <c r="IP33" s="612"/>
      <c r="IQ33" s="612"/>
      <c r="IR33" s="612"/>
      <c r="IS33" s="612"/>
      <c r="IT33" s="612"/>
      <c r="IU33" s="612"/>
      <c r="IV33" s="612"/>
      <c r="IW33" s="612"/>
    </row>
    <row r="34" customFormat="false" ht="12.75" hidden="false" customHeight="false" outlineLevel="0" collapsed="false">
      <c r="D34" s="635"/>
      <c r="AI34" s="612"/>
      <c r="AJ34" s="612"/>
      <c r="AK34" s="612"/>
      <c r="AL34" s="612"/>
      <c r="AM34" s="612"/>
      <c r="AN34" s="612"/>
      <c r="AO34" s="612"/>
      <c r="AP34" s="612"/>
      <c r="AQ34" s="612"/>
      <c r="AR34" s="612"/>
      <c r="AS34" s="612"/>
      <c r="AT34" s="612"/>
      <c r="AU34" s="612"/>
      <c r="AV34" s="612"/>
      <c r="AW34" s="612"/>
      <c r="AX34" s="612"/>
      <c r="AY34" s="612"/>
      <c r="AZ34" s="612"/>
      <c r="BA34" s="612"/>
      <c r="BB34" s="612"/>
      <c r="BC34" s="612"/>
      <c r="BD34" s="612"/>
      <c r="BE34" s="612"/>
      <c r="BF34" s="612"/>
      <c r="BG34" s="612"/>
      <c r="BH34" s="612"/>
      <c r="BI34" s="612"/>
      <c r="BJ34" s="612"/>
      <c r="BK34" s="612"/>
      <c r="BL34" s="612"/>
      <c r="BM34" s="612"/>
      <c r="BN34" s="612"/>
      <c r="BO34" s="612"/>
      <c r="BP34" s="612"/>
      <c r="BQ34" s="612"/>
      <c r="BR34" s="612"/>
      <c r="BS34" s="612"/>
      <c r="BT34" s="612"/>
      <c r="BU34" s="612"/>
      <c r="BV34" s="612"/>
      <c r="BW34" s="612"/>
      <c r="BX34" s="612"/>
      <c r="BY34" s="612"/>
      <c r="BZ34" s="612"/>
      <c r="CA34" s="612"/>
      <c r="CB34" s="612"/>
      <c r="CC34" s="612"/>
      <c r="CD34" s="612"/>
      <c r="CE34" s="612"/>
      <c r="CF34" s="612"/>
      <c r="CG34" s="612"/>
      <c r="CH34" s="612"/>
      <c r="CI34" s="612"/>
      <c r="CJ34" s="612"/>
      <c r="CK34" s="612"/>
      <c r="CL34" s="612"/>
      <c r="CM34" s="612"/>
      <c r="CN34" s="612"/>
      <c r="CO34" s="612"/>
      <c r="CP34" s="612"/>
      <c r="CQ34" s="612"/>
      <c r="CR34" s="612"/>
      <c r="CS34" s="612"/>
      <c r="CT34" s="612"/>
      <c r="CU34" s="612"/>
      <c r="CV34" s="612"/>
      <c r="CW34" s="612"/>
      <c r="CX34" s="612"/>
      <c r="CY34" s="612"/>
      <c r="CZ34" s="612"/>
      <c r="DA34" s="612"/>
      <c r="DB34" s="612"/>
      <c r="DC34" s="612"/>
      <c r="DD34" s="612"/>
      <c r="DE34" s="612"/>
      <c r="DF34" s="612"/>
      <c r="DG34" s="612"/>
      <c r="DH34" s="612"/>
      <c r="DI34" s="612"/>
      <c r="DJ34" s="612"/>
      <c r="DK34" s="612"/>
      <c r="DL34" s="612"/>
      <c r="DM34" s="612"/>
      <c r="DN34" s="612"/>
      <c r="DO34" s="612"/>
      <c r="DP34" s="612"/>
      <c r="DQ34" s="612"/>
      <c r="DR34" s="612"/>
      <c r="DS34" s="612"/>
      <c r="DT34" s="612"/>
      <c r="DU34" s="612"/>
      <c r="DV34" s="612"/>
      <c r="DW34" s="612"/>
      <c r="DX34" s="612"/>
      <c r="DY34" s="612"/>
      <c r="DZ34" s="612"/>
      <c r="EA34" s="612"/>
      <c r="EB34" s="612"/>
      <c r="EC34" s="612"/>
      <c r="ED34" s="612"/>
      <c r="EE34" s="612"/>
      <c r="EF34" s="612"/>
      <c r="EG34" s="612"/>
      <c r="EH34" s="612"/>
      <c r="EI34" s="612"/>
      <c r="EJ34" s="612"/>
      <c r="EK34" s="612"/>
      <c r="EL34" s="612"/>
      <c r="EM34" s="612"/>
      <c r="EN34" s="612"/>
      <c r="EO34" s="612"/>
      <c r="EP34" s="612"/>
      <c r="EQ34" s="612"/>
      <c r="ER34" s="612"/>
      <c r="ES34" s="612"/>
      <c r="ET34" s="612"/>
      <c r="EU34" s="612"/>
      <c r="EV34" s="612"/>
      <c r="EW34" s="612"/>
      <c r="EX34" s="612"/>
      <c r="EY34" s="612"/>
      <c r="EZ34" s="612"/>
      <c r="FA34" s="612"/>
      <c r="FB34" s="612"/>
      <c r="FC34" s="612"/>
      <c r="FD34" s="612"/>
      <c r="FE34" s="612"/>
      <c r="FF34" s="612"/>
      <c r="FG34" s="612"/>
      <c r="FH34" s="612"/>
      <c r="FI34" s="612"/>
      <c r="FJ34" s="612"/>
      <c r="FK34" s="612"/>
      <c r="FL34" s="612"/>
      <c r="FM34" s="612"/>
      <c r="FN34" s="612"/>
      <c r="FO34" s="612"/>
      <c r="FP34" s="612"/>
      <c r="FQ34" s="612"/>
      <c r="FR34" s="612"/>
      <c r="FS34" s="612"/>
      <c r="FT34" s="612"/>
      <c r="FU34" s="612"/>
      <c r="FV34" s="612"/>
      <c r="FW34" s="612"/>
      <c r="FX34" s="612"/>
      <c r="FY34" s="612"/>
      <c r="FZ34" s="612"/>
      <c r="GA34" s="612"/>
      <c r="GB34" s="612"/>
      <c r="GC34" s="612"/>
      <c r="GD34" s="612"/>
      <c r="GE34" s="612"/>
      <c r="GF34" s="612"/>
      <c r="GG34" s="612"/>
      <c r="GH34" s="612"/>
      <c r="GI34" s="612"/>
      <c r="GJ34" s="612"/>
      <c r="GK34" s="612"/>
      <c r="GL34" s="612"/>
      <c r="GM34" s="612"/>
      <c r="GN34" s="612"/>
      <c r="GO34" s="612"/>
      <c r="GP34" s="612"/>
      <c r="GQ34" s="612"/>
      <c r="GR34" s="612"/>
      <c r="GS34" s="612"/>
      <c r="GT34" s="612"/>
      <c r="GU34" s="612"/>
      <c r="GV34" s="612"/>
      <c r="GW34" s="612"/>
      <c r="GX34" s="612"/>
      <c r="GY34" s="612"/>
      <c r="GZ34" s="612"/>
      <c r="HA34" s="612"/>
      <c r="HB34" s="612"/>
      <c r="HC34" s="612"/>
      <c r="HD34" s="612"/>
      <c r="HE34" s="612"/>
      <c r="HF34" s="612"/>
      <c r="HG34" s="612"/>
      <c r="HH34" s="612"/>
      <c r="HI34" s="612"/>
      <c r="HJ34" s="612"/>
      <c r="HK34" s="612"/>
      <c r="HL34" s="612"/>
      <c r="HM34" s="612"/>
      <c r="HN34" s="612"/>
      <c r="HO34" s="612"/>
      <c r="HP34" s="612"/>
      <c r="HQ34" s="612"/>
      <c r="HR34" s="612"/>
      <c r="HS34" s="612"/>
      <c r="HT34" s="612"/>
      <c r="HU34" s="612"/>
      <c r="HV34" s="612"/>
      <c r="HW34" s="612"/>
      <c r="HX34" s="612"/>
      <c r="HY34" s="612"/>
      <c r="HZ34" s="612"/>
      <c r="IA34" s="612"/>
      <c r="IB34" s="612"/>
      <c r="IC34" s="612"/>
      <c r="ID34" s="612"/>
      <c r="IE34" s="612"/>
      <c r="IF34" s="612"/>
      <c r="IG34" s="612"/>
      <c r="IH34" s="612"/>
      <c r="II34" s="612"/>
      <c r="IJ34" s="612"/>
      <c r="IK34" s="612"/>
      <c r="IL34" s="612"/>
      <c r="IM34" s="612"/>
      <c r="IN34" s="612"/>
      <c r="IO34" s="612"/>
      <c r="IP34" s="612"/>
      <c r="IQ34" s="612"/>
      <c r="IR34" s="612"/>
      <c r="IS34" s="612"/>
      <c r="IT34" s="612"/>
      <c r="IU34" s="612"/>
      <c r="IV34" s="612"/>
      <c r="IW34" s="612"/>
    </row>
    <row r="35" customFormat="false" ht="12.75" hidden="false" customHeight="false" outlineLevel="0" collapsed="false">
      <c r="B35" s="612"/>
      <c r="C35" s="612"/>
      <c r="D35" s="636"/>
      <c r="E35" s="636"/>
      <c r="F35" s="636"/>
      <c r="G35" s="636"/>
      <c r="H35" s="636"/>
      <c r="I35" s="636"/>
      <c r="J35" s="636"/>
      <c r="K35" s="636"/>
      <c r="L35" s="636"/>
      <c r="M35" s="636"/>
      <c r="N35" s="636"/>
      <c r="O35" s="636"/>
      <c r="P35" s="636"/>
      <c r="Q35" s="636"/>
      <c r="R35" s="636"/>
      <c r="S35" s="636"/>
      <c r="T35" s="636"/>
      <c r="U35" s="636"/>
      <c r="V35" s="636"/>
      <c r="W35" s="636"/>
      <c r="X35" s="636"/>
      <c r="Y35" s="636"/>
      <c r="Z35" s="636"/>
      <c r="AA35" s="636"/>
      <c r="AB35" s="636"/>
      <c r="AC35" s="636"/>
      <c r="AD35" s="636"/>
      <c r="AE35" s="636"/>
      <c r="AF35" s="636"/>
      <c r="AG35" s="636"/>
      <c r="AH35" s="636"/>
      <c r="AI35" s="612"/>
      <c r="AJ35" s="612"/>
      <c r="AK35" s="612"/>
      <c r="AL35" s="612"/>
      <c r="AM35" s="612"/>
      <c r="AN35" s="612"/>
      <c r="AO35" s="612"/>
      <c r="AP35" s="612"/>
      <c r="AQ35" s="612"/>
      <c r="AR35" s="612"/>
      <c r="AS35" s="612"/>
      <c r="AT35" s="612"/>
      <c r="AU35" s="612"/>
      <c r="AV35" s="612"/>
      <c r="AW35" s="612"/>
      <c r="AX35" s="612"/>
      <c r="AY35" s="612"/>
      <c r="AZ35" s="612"/>
      <c r="BA35" s="612"/>
      <c r="BB35" s="612"/>
      <c r="BC35" s="612"/>
      <c r="BD35" s="612"/>
      <c r="BE35" s="612"/>
      <c r="BF35" s="612"/>
      <c r="BG35" s="612"/>
      <c r="BH35" s="612"/>
      <c r="BI35" s="612"/>
      <c r="BJ35" s="612"/>
      <c r="BK35" s="612"/>
      <c r="BL35" s="612"/>
      <c r="BM35" s="612"/>
      <c r="BN35" s="612"/>
      <c r="BO35" s="612"/>
      <c r="BP35" s="612"/>
      <c r="BQ35" s="612"/>
      <c r="BR35" s="612"/>
      <c r="BS35" s="612"/>
      <c r="BT35" s="612"/>
      <c r="BU35" s="612"/>
      <c r="BV35" s="612"/>
      <c r="BW35" s="612"/>
      <c r="BX35" s="612"/>
      <c r="BY35" s="612"/>
      <c r="BZ35" s="612"/>
      <c r="CA35" s="612"/>
      <c r="CB35" s="612"/>
      <c r="CC35" s="612"/>
      <c r="CD35" s="612"/>
      <c r="CE35" s="612"/>
      <c r="CF35" s="612"/>
      <c r="CG35" s="612"/>
      <c r="CH35" s="612"/>
      <c r="CI35" s="612"/>
      <c r="CJ35" s="612"/>
      <c r="CK35" s="612"/>
      <c r="CL35" s="612"/>
      <c r="CM35" s="612"/>
      <c r="CN35" s="612"/>
      <c r="CO35" s="612"/>
      <c r="CP35" s="612"/>
      <c r="CQ35" s="612"/>
      <c r="CR35" s="612"/>
      <c r="CS35" s="612"/>
      <c r="CT35" s="612"/>
      <c r="CU35" s="612"/>
      <c r="CV35" s="612"/>
      <c r="CW35" s="612"/>
      <c r="CX35" s="612"/>
      <c r="CY35" s="612"/>
      <c r="CZ35" s="612"/>
      <c r="DA35" s="612"/>
      <c r="DB35" s="612"/>
      <c r="DC35" s="612"/>
      <c r="DD35" s="612"/>
      <c r="DE35" s="612"/>
      <c r="DF35" s="612"/>
      <c r="DG35" s="612"/>
      <c r="DH35" s="612"/>
      <c r="DI35" s="612"/>
      <c r="DJ35" s="612"/>
      <c r="DK35" s="612"/>
      <c r="DL35" s="612"/>
      <c r="DM35" s="612"/>
      <c r="DN35" s="612"/>
      <c r="DO35" s="612"/>
      <c r="DP35" s="612"/>
      <c r="DQ35" s="612"/>
      <c r="DR35" s="612"/>
      <c r="DS35" s="612"/>
      <c r="DT35" s="612"/>
      <c r="DU35" s="612"/>
      <c r="DV35" s="612"/>
      <c r="DW35" s="612"/>
      <c r="DX35" s="612"/>
      <c r="DY35" s="612"/>
      <c r="DZ35" s="612"/>
      <c r="EA35" s="612"/>
      <c r="EB35" s="612"/>
      <c r="EC35" s="612"/>
      <c r="ED35" s="612"/>
      <c r="EE35" s="612"/>
      <c r="EF35" s="612"/>
      <c r="EG35" s="612"/>
      <c r="EH35" s="612"/>
      <c r="EI35" s="612"/>
      <c r="EJ35" s="612"/>
      <c r="EK35" s="612"/>
      <c r="EL35" s="612"/>
      <c r="EM35" s="612"/>
      <c r="EN35" s="612"/>
      <c r="EO35" s="612"/>
      <c r="EP35" s="612"/>
      <c r="EQ35" s="612"/>
      <c r="ER35" s="612"/>
      <c r="ES35" s="612"/>
      <c r="ET35" s="612"/>
      <c r="EU35" s="612"/>
      <c r="EV35" s="612"/>
      <c r="EW35" s="612"/>
      <c r="EX35" s="612"/>
      <c r="EY35" s="612"/>
      <c r="EZ35" s="612"/>
      <c r="FA35" s="612"/>
      <c r="FB35" s="612"/>
      <c r="FC35" s="612"/>
      <c r="FD35" s="612"/>
      <c r="FE35" s="612"/>
      <c r="FF35" s="612"/>
      <c r="FG35" s="612"/>
      <c r="FH35" s="612"/>
      <c r="FI35" s="612"/>
      <c r="FJ35" s="612"/>
      <c r="FK35" s="612"/>
      <c r="FL35" s="612"/>
      <c r="FM35" s="612"/>
      <c r="FN35" s="612"/>
      <c r="FO35" s="612"/>
      <c r="FP35" s="612"/>
      <c r="FQ35" s="612"/>
      <c r="FR35" s="612"/>
      <c r="FS35" s="612"/>
      <c r="FT35" s="612"/>
      <c r="FU35" s="612"/>
      <c r="FV35" s="612"/>
      <c r="FW35" s="612"/>
      <c r="FX35" s="612"/>
      <c r="FY35" s="612"/>
      <c r="FZ35" s="612"/>
      <c r="GA35" s="612"/>
      <c r="GB35" s="612"/>
      <c r="GC35" s="612"/>
      <c r="GD35" s="612"/>
      <c r="GE35" s="612"/>
      <c r="GF35" s="612"/>
      <c r="GG35" s="612"/>
      <c r="GH35" s="612"/>
      <c r="GI35" s="612"/>
      <c r="GJ35" s="612"/>
      <c r="GK35" s="612"/>
      <c r="GL35" s="612"/>
      <c r="GM35" s="612"/>
      <c r="GN35" s="612"/>
      <c r="GO35" s="612"/>
      <c r="GP35" s="612"/>
      <c r="GQ35" s="612"/>
      <c r="GR35" s="612"/>
      <c r="GS35" s="612"/>
      <c r="GT35" s="612"/>
      <c r="GU35" s="612"/>
      <c r="GV35" s="612"/>
      <c r="GW35" s="612"/>
      <c r="GX35" s="612"/>
      <c r="GY35" s="612"/>
      <c r="GZ35" s="612"/>
      <c r="HA35" s="612"/>
      <c r="HB35" s="612"/>
      <c r="HC35" s="612"/>
      <c r="HD35" s="612"/>
      <c r="HE35" s="612"/>
      <c r="HF35" s="612"/>
      <c r="HG35" s="612"/>
      <c r="HH35" s="612"/>
      <c r="HI35" s="612"/>
      <c r="HJ35" s="612"/>
      <c r="HK35" s="612"/>
      <c r="HL35" s="612"/>
      <c r="HM35" s="612"/>
      <c r="HN35" s="612"/>
      <c r="HO35" s="612"/>
      <c r="HP35" s="612"/>
      <c r="HQ35" s="612"/>
      <c r="HR35" s="612"/>
      <c r="HS35" s="612"/>
      <c r="HT35" s="612"/>
      <c r="HU35" s="612"/>
      <c r="HV35" s="612"/>
      <c r="HW35" s="612"/>
      <c r="HX35" s="612"/>
      <c r="HY35" s="612"/>
      <c r="HZ35" s="612"/>
      <c r="IA35" s="612"/>
      <c r="IB35" s="612"/>
      <c r="IC35" s="612"/>
      <c r="ID35" s="612"/>
      <c r="IE35" s="612"/>
      <c r="IF35" s="612"/>
      <c r="IG35" s="612"/>
      <c r="IH35" s="612"/>
      <c r="II35" s="612"/>
      <c r="IJ35" s="612"/>
      <c r="IK35" s="612"/>
      <c r="IL35" s="612"/>
      <c r="IM35" s="612"/>
      <c r="IN35" s="612"/>
      <c r="IO35" s="612"/>
      <c r="IP35" s="612"/>
      <c r="IQ35" s="612"/>
      <c r="IR35" s="612"/>
      <c r="IS35" s="612"/>
      <c r="IT35" s="612"/>
      <c r="IU35" s="612"/>
      <c r="IV35" s="612"/>
      <c r="IW35" s="612"/>
    </row>
    <row r="36" customFormat="false" ht="12.75" hidden="false" customHeight="false" outlineLevel="0" collapsed="false">
      <c r="A36" s="609" t="s">
        <v>411</v>
      </c>
      <c r="B36" s="612"/>
      <c r="C36" s="612"/>
      <c r="D36" s="637"/>
      <c r="E36" s="637"/>
      <c r="F36" s="637"/>
      <c r="G36" s="637"/>
      <c r="H36" s="637"/>
      <c r="I36" s="637"/>
      <c r="J36" s="637"/>
      <c r="K36" s="637"/>
      <c r="L36" s="637"/>
      <c r="M36" s="637"/>
      <c r="N36" s="637"/>
      <c r="O36" s="637"/>
      <c r="P36" s="637"/>
      <c r="Q36" s="637"/>
      <c r="R36" s="637"/>
      <c r="S36" s="637"/>
      <c r="T36" s="637"/>
      <c r="U36" s="637"/>
      <c r="V36" s="637"/>
      <c r="W36" s="637"/>
      <c r="X36" s="637"/>
      <c r="Y36" s="637"/>
      <c r="Z36" s="637"/>
      <c r="AA36" s="637"/>
      <c r="AB36" s="637"/>
      <c r="AC36" s="637"/>
      <c r="AD36" s="637"/>
      <c r="AE36" s="637"/>
      <c r="AF36" s="637"/>
      <c r="AG36" s="637"/>
      <c r="AH36" s="637"/>
      <c r="AI36" s="612"/>
      <c r="AJ36" s="612"/>
      <c r="AK36" s="612"/>
      <c r="AL36" s="612"/>
      <c r="AM36" s="612"/>
      <c r="AN36" s="612"/>
      <c r="AO36" s="612"/>
      <c r="AP36" s="612"/>
      <c r="AQ36" s="612"/>
      <c r="AR36" s="612"/>
      <c r="AS36" s="612"/>
      <c r="AT36" s="612"/>
      <c r="AU36" s="612"/>
      <c r="AV36" s="612"/>
      <c r="AW36" s="612"/>
      <c r="AX36" s="612"/>
      <c r="AY36" s="612"/>
      <c r="AZ36" s="612"/>
      <c r="BA36" s="612"/>
      <c r="BB36" s="612"/>
      <c r="BC36" s="612"/>
      <c r="BD36" s="612"/>
      <c r="BE36" s="612"/>
      <c r="BF36" s="612"/>
      <c r="BG36" s="612"/>
      <c r="BH36" s="612"/>
      <c r="BI36" s="612"/>
      <c r="BJ36" s="612"/>
      <c r="BK36" s="612"/>
      <c r="BL36" s="612"/>
      <c r="BM36" s="612"/>
      <c r="BN36" s="612"/>
      <c r="BO36" s="612"/>
      <c r="BP36" s="612"/>
      <c r="BQ36" s="612"/>
      <c r="BR36" s="612"/>
      <c r="BS36" s="612"/>
      <c r="BT36" s="612"/>
      <c r="BU36" s="612"/>
      <c r="BV36" s="612"/>
      <c r="BW36" s="612"/>
      <c r="BX36" s="612"/>
      <c r="BY36" s="612"/>
      <c r="BZ36" s="612"/>
      <c r="CA36" s="612"/>
      <c r="CB36" s="612"/>
      <c r="CC36" s="612"/>
      <c r="CD36" s="612"/>
      <c r="CE36" s="612"/>
      <c r="CF36" s="612"/>
      <c r="CG36" s="612"/>
      <c r="CH36" s="612"/>
      <c r="CI36" s="612"/>
      <c r="CJ36" s="612"/>
      <c r="CK36" s="612"/>
      <c r="CL36" s="612"/>
      <c r="CM36" s="612"/>
      <c r="CN36" s="612"/>
      <c r="CO36" s="612"/>
      <c r="CP36" s="612"/>
      <c r="CQ36" s="612"/>
      <c r="CR36" s="612"/>
      <c r="CS36" s="612"/>
      <c r="CT36" s="612"/>
      <c r="CU36" s="612"/>
      <c r="CV36" s="612"/>
      <c r="CW36" s="612"/>
      <c r="CX36" s="612"/>
      <c r="CY36" s="612"/>
      <c r="CZ36" s="612"/>
      <c r="DA36" s="612"/>
      <c r="DB36" s="612"/>
      <c r="DC36" s="612"/>
      <c r="DD36" s="612"/>
      <c r="DE36" s="612"/>
      <c r="DF36" s="612"/>
      <c r="DG36" s="612"/>
      <c r="DH36" s="612"/>
      <c r="DI36" s="612"/>
      <c r="DJ36" s="612"/>
      <c r="DK36" s="612"/>
      <c r="DL36" s="612"/>
      <c r="DM36" s="612"/>
      <c r="DN36" s="612"/>
      <c r="DO36" s="612"/>
      <c r="DP36" s="612"/>
      <c r="DQ36" s="612"/>
      <c r="DR36" s="612"/>
      <c r="DS36" s="612"/>
      <c r="DT36" s="612"/>
      <c r="DU36" s="612"/>
      <c r="DV36" s="612"/>
      <c r="DW36" s="612"/>
      <c r="DX36" s="612"/>
      <c r="DY36" s="612"/>
      <c r="DZ36" s="612"/>
      <c r="EA36" s="612"/>
      <c r="EB36" s="612"/>
      <c r="EC36" s="612"/>
      <c r="ED36" s="612"/>
      <c r="EE36" s="612"/>
      <c r="EF36" s="612"/>
      <c r="EG36" s="612"/>
      <c r="EH36" s="612"/>
      <c r="EI36" s="612"/>
      <c r="EJ36" s="612"/>
      <c r="EK36" s="612"/>
      <c r="EL36" s="612"/>
      <c r="EM36" s="612"/>
      <c r="EN36" s="612"/>
      <c r="EO36" s="612"/>
      <c r="EP36" s="612"/>
      <c r="EQ36" s="612"/>
      <c r="ER36" s="612"/>
      <c r="ES36" s="612"/>
      <c r="ET36" s="612"/>
      <c r="EU36" s="612"/>
      <c r="EV36" s="612"/>
      <c r="EW36" s="612"/>
      <c r="EX36" s="612"/>
      <c r="EY36" s="612"/>
      <c r="EZ36" s="612"/>
      <c r="FA36" s="612"/>
      <c r="FB36" s="612"/>
      <c r="FC36" s="612"/>
      <c r="FD36" s="612"/>
      <c r="FE36" s="612"/>
      <c r="FF36" s="612"/>
      <c r="FG36" s="612"/>
      <c r="FH36" s="612"/>
      <c r="FI36" s="612"/>
      <c r="FJ36" s="612"/>
      <c r="FK36" s="612"/>
      <c r="FL36" s="612"/>
      <c r="FM36" s="612"/>
      <c r="FN36" s="612"/>
      <c r="FO36" s="612"/>
      <c r="FP36" s="612"/>
      <c r="FQ36" s="612"/>
      <c r="FR36" s="612"/>
      <c r="FS36" s="612"/>
      <c r="FT36" s="612"/>
      <c r="FU36" s="612"/>
      <c r="FV36" s="612"/>
      <c r="FW36" s="612"/>
      <c r="FX36" s="612"/>
      <c r="FY36" s="612"/>
      <c r="FZ36" s="612"/>
      <c r="GA36" s="612"/>
      <c r="GB36" s="612"/>
      <c r="GC36" s="612"/>
      <c r="GD36" s="612"/>
      <c r="GE36" s="612"/>
      <c r="GF36" s="612"/>
      <c r="GG36" s="612"/>
      <c r="GH36" s="612"/>
      <c r="GI36" s="612"/>
      <c r="GJ36" s="612"/>
      <c r="GK36" s="612"/>
      <c r="GL36" s="612"/>
      <c r="GM36" s="612"/>
      <c r="GN36" s="612"/>
      <c r="GO36" s="612"/>
      <c r="GP36" s="612"/>
      <c r="GQ36" s="612"/>
      <c r="GR36" s="612"/>
      <c r="GS36" s="612"/>
      <c r="GT36" s="612"/>
      <c r="GU36" s="612"/>
      <c r="GV36" s="612"/>
      <c r="GW36" s="612"/>
      <c r="GX36" s="612"/>
      <c r="GY36" s="612"/>
      <c r="GZ36" s="612"/>
      <c r="HA36" s="612"/>
      <c r="HB36" s="612"/>
      <c r="HC36" s="612"/>
      <c r="HD36" s="612"/>
      <c r="HE36" s="612"/>
      <c r="HF36" s="612"/>
      <c r="HG36" s="612"/>
      <c r="HH36" s="612"/>
      <c r="HI36" s="612"/>
      <c r="HJ36" s="612"/>
      <c r="HK36" s="612"/>
      <c r="HL36" s="612"/>
      <c r="HM36" s="612"/>
      <c r="HN36" s="612"/>
      <c r="HO36" s="612"/>
      <c r="HP36" s="612"/>
      <c r="HQ36" s="612"/>
      <c r="HR36" s="612"/>
      <c r="HS36" s="612"/>
      <c r="HT36" s="612"/>
      <c r="HU36" s="612"/>
      <c r="HV36" s="612"/>
      <c r="HW36" s="612"/>
      <c r="HX36" s="612"/>
      <c r="HY36" s="612"/>
      <c r="HZ36" s="612"/>
      <c r="IA36" s="612"/>
      <c r="IB36" s="612"/>
      <c r="IC36" s="612"/>
      <c r="ID36" s="612"/>
      <c r="IE36" s="612"/>
      <c r="IF36" s="612"/>
      <c r="IG36" s="612"/>
      <c r="IH36" s="612"/>
      <c r="II36" s="612"/>
      <c r="IJ36" s="612"/>
      <c r="IK36" s="612"/>
      <c r="IL36" s="612"/>
      <c r="IM36" s="612"/>
      <c r="IN36" s="612"/>
      <c r="IO36" s="612"/>
      <c r="IP36" s="612"/>
      <c r="IQ36" s="612"/>
      <c r="IR36" s="612"/>
      <c r="IS36" s="612"/>
      <c r="IT36" s="612"/>
      <c r="IU36" s="612"/>
      <c r="IV36" s="612"/>
      <c r="IW36" s="612"/>
    </row>
    <row r="37" customFormat="false" ht="12.75" hidden="false" customHeight="false" outlineLevel="0" collapsed="false">
      <c r="A37" s="609"/>
      <c r="B37" s="613" t="s">
        <v>404</v>
      </c>
      <c r="C37" s="638" t="s">
        <v>412</v>
      </c>
      <c r="D37" s="637"/>
      <c r="E37" s="637"/>
      <c r="F37" s="637"/>
      <c r="G37" s="637"/>
      <c r="H37" s="637"/>
      <c r="I37" s="637"/>
      <c r="J37" s="637"/>
      <c r="K37" s="637"/>
      <c r="L37" s="637"/>
      <c r="M37" s="637"/>
      <c r="N37" s="637"/>
      <c r="O37" s="637"/>
      <c r="P37" s="637"/>
      <c r="Q37" s="637"/>
      <c r="R37" s="637"/>
      <c r="S37" s="637"/>
      <c r="T37" s="637"/>
      <c r="U37" s="637"/>
      <c r="V37" s="637"/>
      <c r="W37" s="637"/>
      <c r="X37" s="637"/>
      <c r="Y37" s="637"/>
      <c r="Z37" s="637"/>
      <c r="AA37" s="637"/>
      <c r="AB37" s="637"/>
      <c r="AC37" s="637"/>
      <c r="AD37" s="637"/>
      <c r="AE37" s="637"/>
      <c r="AF37" s="637"/>
      <c r="AG37" s="637"/>
      <c r="AH37" s="637"/>
      <c r="AI37" s="612"/>
      <c r="AJ37" s="612"/>
      <c r="AK37" s="612"/>
      <c r="AL37" s="612"/>
      <c r="AM37" s="612"/>
      <c r="AN37" s="612"/>
      <c r="AO37" s="612"/>
      <c r="AP37" s="612"/>
      <c r="AQ37" s="612"/>
      <c r="AR37" s="612"/>
      <c r="AS37" s="612"/>
      <c r="AT37" s="612"/>
      <c r="AU37" s="612"/>
      <c r="AV37" s="612"/>
      <c r="AW37" s="612"/>
      <c r="AX37" s="612"/>
      <c r="AY37" s="612"/>
      <c r="AZ37" s="612"/>
      <c r="BA37" s="612"/>
      <c r="BB37" s="612"/>
      <c r="BC37" s="612"/>
      <c r="BD37" s="612"/>
      <c r="BE37" s="612"/>
      <c r="BF37" s="612"/>
      <c r="BG37" s="612"/>
      <c r="BH37" s="612"/>
      <c r="BI37" s="612"/>
      <c r="BJ37" s="612"/>
      <c r="BK37" s="612"/>
      <c r="BL37" s="612"/>
      <c r="BM37" s="612"/>
      <c r="BN37" s="612"/>
      <c r="BO37" s="612"/>
      <c r="BP37" s="612"/>
      <c r="BQ37" s="612"/>
      <c r="BR37" s="612"/>
      <c r="BS37" s="612"/>
      <c r="BT37" s="612"/>
      <c r="BU37" s="612"/>
      <c r="BV37" s="612"/>
      <c r="BW37" s="612"/>
      <c r="BX37" s="612"/>
      <c r="BY37" s="612"/>
      <c r="BZ37" s="612"/>
      <c r="CA37" s="612"/>
      <c r="CB37" s="612"/>
      <c r="CC37" s="612"/>
      <c r="CD37" s="612"/>
      <c r="CE37" s="612"/>
      <c r="CF37" s="612"/>
      <c r="CG37" s="612"/>
      <c r="CH37" s="612"/>
      <c r="CI37" s="612"/>
      <c r="CJ37" s="612"/>
      <c r="CK37" s="612"/>
      <c r="CL37" s="612"/>
      <c r="CM37" s="612"/>
      <c r="CN37" s="612"/>
      <c r="CO37" s="612"/>
      <c r="CP37" s="612"/>
      <c r="CQ37" s="612"/>
      <c r="CR37" s="612"/>
      <c r="CS37" s="612"/>
      <c r="CT37" s="612"/>
      <c r="CU37" s="612"/>
      <c r="CV37" s="612"/>
      <c r="CW37" s="612"/>
      <c r="CX37" s="612"/>
      <c r="CY37" s="612"/>
      <c r="CZ37" s="612"/>
      <c r="DA37" s="612"/>
      <c r="DB37" s="612"/>
      <c r="DC37" s="612"/>
      <c r="DD37" s="612"/>
      <c r="DE37" s="612"/>
      <c r="DF37" s="612"/>
      <c r="DG37" s="612"/>
      <c r="DH37" s="612"/>
      <c r="DI37" s="612"/>
      <c r="DJ37" s="612"/>
      <c r="DK37" s="612"/>
      <c r="DL37" s="612"/>
      <c r="DM37" s="612"/>
      <c r="DN37" s="612"/>
      <c r="DO37" s="612"/>
      <c r="DP37" s="612"/>
      <c r="DQ37" s="612"/>
      <c r="DR37" s="612"/>
      <c r="DS37" s="612"/>
      <c r="DT37" s="612"/>
      <c r="DU37" s="612"/>
      <c r="DV37" s="612"/>
      <c r="DW37" s="612"/>
      <c r="DX37" s="612"/>
      <c r="DY37" s="612"/>
      <c r="DZ37" s="612"/>
      <c r="EA37" s="612"/>
      <c r="EB37" s="612"/>
      <c r="EC37" s="612"/>
      <c r="ED37" s="612"/>
      <c r="EE37" s="612"/>
      <c r="EF37" s="612"/>
      <c r="EG37" s="612"/>
      <c r="EH37" s="612"/>
      <c r="EI37" s="612"/>
      <c r="EJ37" s="612"/>
      <c r="EK37" s="612"/>
      <c r="EL37" s="612"/>
      <c r="EM37" s="612"/>
      <c r="EN37" s="612"/>
      <c r="EO37" s="612"/>
      <c r="EP37" s="612"/>
      <c r="EQ37" s="612"/>
      <c r="ER37" s="612"/>
      <c r="ES37" s="612"/>
      <c r="ET37" s="612"/>
      <c r="EU37" s="612"/>
      <c r="EV37" s="612"/>
      <c r="EW37" s="612"/>
      <c r="EX37" s="612"/>
      <c r="EY37" s="612"/>
      <c r="EZ37" s="612"/>
      <c r="FA37" s="612"/>
      <c r="FB37" s="612"/>
      <c r="FC37" s="612"/>
      <c r="FD37" s="612"/>
      <c r="FE37" s="612"/>
      <c r="FF37" s="612"/>
      <c r="FG37" s="612"/>
      <c r="FH37" s="612"/>
      <c r="FI37" s="612"/>
      <c r="FJ37" s="612"/>
      <c r="FK37" s="612"/>
      <c r="FL37" s="612"/>
      <c r="FM37" s="612"/>
      <c r="FN37" s="612"/>
      <c r="FO37" s="612"/>
      <c r="FP37" s="612"/>
      <c r="FQ37" s="612"/>
      <c r="FR37" s="612"/>
      <c r="FS37" s="612"/>
      <c r="FT37" s="612"/>
      <c r="FU37" s="612"/>
      <c r="FV37" s="612"/>
      <c r="FW37" s="612"/>
      <c r="FX37" s="612"/>
      <c r="FY37" s="612"/>
      <c r="FZ37" s="612"/>
      <c r="GA37" s="612"/>
      <c r="GB37" s="612"/>
      <c r="GC37" s="612"/>
      <c r="GD37" s="612"/>
      <c r="GE37" s="612"/>
      <c r="GF37" s="612"/>
      <c r="GG37" s="612"/>
      <c r="GH37" s="612"/>
      <c r="GI37" s="612"/>
      <c r="GJ37" s="612"/>
      <c r="GK37" s="612"/>
      <c r="GL37" s="612"/>
      <c r="GM37" s="612"/>
      <c r="GN37" s="612"/>
      <c r="GO37" s="612"/>
      <c r="GP37" s="612"/>
      <c r="GQ37" s="612"/>
      <c r="GR37" s="612"/>
      <c r="GS37" s="612"/>
      <c r="GT37" s="612"/>
      <c r="GU37" s="612"/>
      <c r="GV37" s="612"/>
      <c r="GW37" s="612"/>
      <c r="GX37" s="612"/>
      <c r="GY37" s="612"/>
      <c r="GZ37" s="612"/>
      <c r="HA37" s="612"/>
      <c r="HB37" s="612"/>
      <c r="HC37" s="612"/>
      <c r="HD37" s="612"/>
      <c r="HE37" s="612"/>
      <c r="HF37" s="612"/>
      <c r="HG37" s="612"/>
      <c r="HH37" s="612"/>
      <c r="HI37" s="612"/>
      <c r="HJ37" s="612"/>
      <c r="HK37" s="612"/>
      <c r="HL37" s="612"/>
      <c r="HM37" s="612"/>
      <c r="HN37" s="612"/>
      <c r="HO37" s="612"/>
      <c r="HP37" s="612"/>
      <c r="HQ37" s="612"/>
      <c r="HR37" s="612"/>
      <c r="HS37" s="612"/>
      <c r="HT37" s="612"/>
      <c r="HU37" s="612"/>
      <c r="HV37" s="612"/>
      <c r="HW37" s="612"/>
      <c r="HX37" s="612"/>
      <c r="HY37" s="612"/>
      <c r="HZ37" s="612"/>
      <c r="IA37" s="612"/>
      <c r="IB37" s="612"/>
      <c r="IC37" s="612"/>
      <c r="ID37" s="612"/>
      <c r="IE37" s="612"/>
      <c r="IF37" s="612"/>
      <c r="IG37" s="612"/>
      <c r="IH37" s="612"/>
      <c r="II37" s="612"/>
      <c r="IJ37" s="612"/>
      <c r="IK37" s="612"/>
      <c r="IL37" s="612"/>
      <c r="IM37" s="612"/>
      <c r="IN37" s="612"/>
      <c r="IO37" s="612"/>
      <c r="IP37" s="612"/>
      <c r="IQ37" s="612"/>
      <c r="IR37" s="612"/>
      <c r="IS37" s="612"/>
      <c r="IT37" s="612"/>
      <c r="IU37" s="612"/>
      <c r="IV37" s="612"/>
      <c r="IW37" s="612"/>
    </row>
    <row r="38" customFormat="false" ht="12.75" hidden="false" customHeight="false" outlineLevel="0" collapsed="false">
      <c r="A38" s="616" t="s">
        <v>413</v>
      </c>
      <c r="B38" s="617" t="n">
        <f aca="false">Assumptions!$O$50</f>
        <v>30</v>
      </c>
      <c r="C38" s="481" t="n">
        <f aca="false">Assumptions!Q50</f>
        <v>0</v>
      </c>
      <c r="D38" s="614" t="n">
        <f aca="false">1/Assumptions!$O$50*D9/12*(1-$C$38)</f>
        <v>0.0222831050228311</v>
      </c>
      <c r="E38" s="614" t="n">
        <f aca="false">IF(E6=Assumptions!$O$50,1/Assumptions!$O$50*(1-$C$38)-Depreciation!$D$38,IF(E6&lt;Assumptions!$O$50,1/Assumptions!$O$47*(1-$C$38),0))</f>
        <v>0.05</v>
      </c>
      <c r="F38" s="614" t="n">
        <f aca="false">IF(F6=Assumptions!$O$50,1/Assumptions!$O$50*(1-$C$38)-Depreciation!$D$38,IF(F6&lt;Assumptions!$O$50,1/Assumptions!$O$47*(1-$C$38),0))</f>
        <v>0.05</v>
      </c>
      <c r="G38" s="614" t="n">
        <f aca="false">IF(G6=Assumptions!$O$50,1/Assumptions!$O$50*(1-$C$38)-Depreciation!$D$38,IF(G6&lt;Assumptions!$O$50,1/Assumptions!$O$47*(1-$C$38),0))</f>
        <v>0.05</v>
      </c>
      <c r="H38" s="614" t="n">
        <f aca="false">IF(H6=Assumptions!$O$50,1/Assumptions!$O$50*(1-$C$38)-Depreciation!$D$38,IF(H6&lt;Assumptions!$O$50,1/Assumptions!$O$47*(1-$C$38),0))</f>
        <v>0.05</v>
      </c>
      <c r="I38" s="614" t="n">
        <f aca="false">IF(I6=Assumptions!$O$50,1/Assumptions!$O$50*(1-$C$38)-Depreciation!$D$38,IF(I6&lt;Assumptions!$O$50,1/Assumptions!$O$47*(1-$C$38),0))</f>
        <v>0.05</v>
      </c>
      <c r="J38" s="614" t="n">
        <f aca="false">IF(J6=Assumptions!$O$50,1/Assumptions!$O$50*(1-$C$38)-Depreciation!$D$38,IF(J6&lt;Assumptions!$O$50,1/Assumptions!$O$47*(1-$C$38),0))</f>
        <v>0.05</v>
      </c>
      <c r="K38" s="614" t="n">
        <f aca="false">IF(K6=Assumptions!$O$50,1/Assumptions!$O$50*(1-$C$38)-Depreciation!$D$38,IF(K6&lt;Assumptions!$O$50,1/Assumptions!$O$47*(1-$C$38),0))</f>
        <v>0.05</v>
      </c>
      <c r="L38" s="614" t="n">
        <f aca="false">IF(L6=Assumptions!$O$50,1/Assumptions!$O$50*(1-$C$38)-Depreciation!$D$38,IF(L6&lt;Assumptions!$O$50,1/Assumptions!$O$47*(1-$C$38),0))</f>
        <v>0.05</v>
      </c>
      <c r="M38" s="614" t="n">
        <f aca="false">IF(M6=Assumptions!$O$50,1/Assumptions!$O$50*(1-$C$38)-Depreciation!$D$38,IF(M6&lt;Assumptions!$O$50,1/Assumptions!$O$47*(1-$C$38),0))</f>
        <v>0.05</v>
      </c>
      <c r="N38" s="614" t="n">
        <f aca="false">IF(N6=Assumptions!$O$50,1/Assumptions!$O$50*(1-$C$38)-Depreciation!$D$38,IF(N6&lt;Assumptions!$O$50,1/Assumptions!$O$47*(1-$C$38),0))</f>
        <v>0.05</v>
      </c>
      <c r="O38" s="614" t="n">
        <f aca="false">IF(O6=Assumptions!$O$50,1/Assumptions!$O$50*(1-$C$38)-Depreciation!$D$38,IF(O6&lt;Assumptions!$O$50,1/Assumptions!$O$47*(1-$C$38),0))</f>
        <v>0.05</v>
      </c>
      <c r="P38" s="614" t="n">
        <f aca="false">IF(P6=Assumptions!$O$50,1/Assumptions!$O$50*(1-$C$38)-Depreciation!$D$38,IF(P6&lt;Assumptions!$O$50,1/Assumptions!$O$47*(1-$C$38),0))</f>
        <v>0.05</v>
      </c>
      <c r="Q38" s="614" t="n">
        <f aca="false">IF(Q6=Assumptions!$O$50,1/Assumptions!$O$50*(1-$C$38)-Depreciation!$D$38,IF(Q6&lt;Assumptions!$O$50,1/Assumptions!$O$47*(1-$C$38),0))</f>
        <v>0.05</v>
      </c>
      <c r="R38" s="614" t="n">
        <f aca="false">IF(R6=Assumptions!$O$50,1/Assumptions!$O$50*(1-$C$38)-Depreciation!$D$38,IF(R6&lt;Assumptions!$O$50,1/Assumptions!$O$47*(1-$C$38),0))</f>
        <v>0.05</v>
      </c>
      <c r="S38" s="614" t="n">
        <f aca="false">IF(S6=Assumptions!$O$50,1/Assumptions!$O$50*(1-$C$38)-Depreciation!$D$38,IF(S6&lt;Assumptions!$O$50,1/Assumptions!$O$47*(1-$C$38),0))</f>
        <v>0.05</v>
      </c>
      <c r="T38" s="614" t="n">
        <f aca="false">IF(T6=Assumptions!$O$50,1/Assumptions!$O$50*(1-$C$38)-Depreciation!$D$38,IF(T6&lt;Assumptions!$O$50,1/Assumptions!$O$47*(1-$C$38),0))</f>
        <v>0.05</v>
      </c>
      <c r="U38" s="614" t="n">
        <f aca="false">IF(U6=Assumptions!$O$50,1/Assumptions!$O$50*(1-$C$38)-Depreciation!$D$38,IF(U6&lt;Assumptions!$O$50,1/Assumptions!$O$47*(1-$C$38),0))</f>
        <v>0.05</v>
      </c>
      <c r="V38" s="614" t="n">
        <f aca="false">IF(V6=Assumptions!$O$50,1/Assumptions!$O$50*(1-$C$38)-Depreciation!$D$38,IF(V6&lt;Assumptions!$O$50,1/Assumptions!$O$47*(1-$C$38),0))</f>
        <v>0.05</v>
      </c>
      <c r="W38" s="614" t="n">
        <f aca="false">IF(W6=Assumptions!$O$50,1/Assumptions!$O$50*(1-$C$38)-Depreciation!$D$38,IF(W6&lt;Assumptions!$O$50,1/Assumptions!$O$47*(1-$C$38),0))</f>
        <v>0.05</v>
      </c>
      <c r="X38" s="614" t="n">
        <f aca="false">IF(X6=Assumptions!$O$50,1/Assumptions!$O$50*(1-$C$38)-Depreciation!$D$38,IF(X6&lt;Assumptions!$O$50,1/Assumptions!$O$47*(1-$C$38),0))</f>
        <v>0.05</v>
      </c>
      <c r="Y38" s="614" t="n">
        <f aca="false">IF(Y6=Assumptions!$O$50,1/Assumptions!$O$50*(1-$C$38)-Depreciation!$D$38,IF(Y6&lt;Assumptions!$O$50,1/Assumptions!$O$47*(1-$C$38),0))</f>
        <v>0.05</v>
      </c>
      <c r="Z38" s="614" t="n">
        <f aca="false">IF(Z6=Assumptions!$O$50,1/Assumptions!$O$50*(1-$C$38)-Depreciation!$D$38,IF(Z6&lt;Assumptions!$O$50,1/Assumptions!$O$47*(1-$C$38),0))</f>
        <v>0.05</v>
      </c>
      <c r="AA38" s="614" t="n">
        <f aca="false">IF(AA6=Assumptions!$O$50,1/Assumptions!$O$50*(1-$C$38)-Depreciation!$D$38,IF(AA6&lt;Assumptions!$O$50,1/Assumptions!$O$47*(1-$C$38),0))</f>
        <v>0.05</v>
      </c>
      <c r="AB38" s="614" t="n">
        <f aca="false">IF(AB6=Assumptions!$O$50,1/Assumptions!$O$50*(1-$C$38)-Depreciation!$D$38,IF(AB6&lt;Assumptions!$O$50,1/Assumptions!$O$47*(1-$C$38),0))</f>
        <v>0.05</v>
      </c>
      <c r="AC38" s="614" t="n">
        <f aca="false">IF(AC6=Assumptions!$O$50,1/Assumptions!$O$50*(1-$C$38)-Depreciation!$D$38,IF(AC6&lt;Assumptions!$O$50,1/Assumptions!$O$47*(1-$C$38),0))</f>
        <v>0.05</v>
      </c>
      <c r="AD38" s="614" t="n">
        <f aca="false">IF(AD6=Assumptions!$O$50,1/Assumptions!$O$50*(1-$C$38)-Depreciation!$D$38,IF(AD6&lt;Assumptions!$O$50,1/Assumptions!$O$47*(1-$C$38),0))</f>
        <v>0.05</v>
      </c>
      <c r="AE38" s="614" t="n">
        <f aca="false">IF(AE6=Assumptions!$O$50,1/Assumptions!$O$50*(1-$C$38)-Depreciation!$D$38,IF(AE6&lt;Assumptions!$O$50,1/Assumptions!$O$47*(1-$C$38),0))</f>
        <v>0.05</v>
      </c>
      <c r="AF38" s="614" t="n">
        <f aca="false">IF(AF6=Assumptions!$O$50,1/Assumptions!$O$50*(1-$C$38)-Depreciation!$D$38,IF(AF6&lt;Assumptions!$O$50,1/Assumptions!$O$47*(1-$C$38),0))</f>
        <v>0.05</v>
      </c>
      <c r="AG38" s="614" t="n">
        <f aca="false">IF(AG6=Assumptions!$O$50,1/Assumptions!$O$50*(1-$C$38)-Depreciation!$D$38,IF(AG6&lt;Assumptions!$O$50,1/Assumptions!$O$47*(1-$C$38),0))</f>
        <v>0.05</v>
      </c>
      <c r="AH38" s="614" t="n">
        <f aca="false">IF(AH6=Assumptions!$O$50,1/Assumptions!$O$50*(1-$C$38)-Depreciation!$D$38,IF(AH6&lt;Assumptions!$O$50,1/Assumptions!$O$47*(1-$C$38),0))</f>
        <v>0</v>
      </c>
      <c r="AI38" s="612"/>
      <c r="AJ38" s="612"/>
      <c r="AK38" s="612"/>
      <c r="AL38" s="612"/>
      <c r="AM38" s="612"/>
      <c r="AN38" s="612"/>
      <c r="AO38" s="612"/>
      <c r="AP38" s="612"/>
      <c r="AQ38" s="612"/>
      <c r="AR38" s="612"/>
      <c r="AS38" s="612"/>
      <c r="AT38" s="612"/>
      <c r="AU38" s="612"/>
      <c r="AV38" s="612"/>
      <c r="AW38" s="612"/>
      <c r="AX38" s="612"/>
      <c r="AY38" s="612"/>
      <c r="AZ38" s="612"/>
      <c r="BA38" s="612"/>
      <c r="BB38" s="612"/>
      <c r="BC38" s="612"/>
      <c r="BD38" s="612"/>
      <c r="BE38" s="612"/>
      <c r="BF38" s="612"/>
      <c r="BG38" s="612"/>
      <c r="BH38" s="612"/>
      <c r="BI38" s="612"/>
      <c r="BJ38" s="612"/>
      <c r="BK38" s="612"/>
      <c r="BL38" s="612"/>
      <c r="BM38" s="612"/>
      <c r="BN38" s="612"/>
      <c r="BO38" s="612"/>
      <c r="BP38" s="612"/>
      <c r="BQ38" s="612"/>
      <c r="BR38" s="612"/>
      <c r="BS38" s="612"/>
      <c r="BT38" s="612"/>
      <c r="BU38" s="612"/>
      <c r="BV38" s="612"/>
      <c r="BW38" s="612"/>
      <c r="BX38" s="612"/>
      <c r="BY38" s="612"/>
      <c r="BZ38" s="612"/>
      <c r="CA38" s="612"/>
      <c r="CB38" s="612"/>
      <c r="CC38" s="612"/>
      <c r="CD38" s="612"/>
      <c r="CE38" s="612"/>
      <c r="CF38" s="612"/>
      <c r="CG38" s="612"/>
      <c r="CH38" s="612"/>
      <c r="CI38" s="612"/>
      <c r="CJ38" s="612"/>
      <c r="CK38" s="612"/>
      <c r="CL38" s="612"/>
      <c r="CM38" s="612"/>
      <c r="CN38" s="612"/>
      <c r="CO38" s="612"/>
      <c r="CP38" s="612"/>
      <c r="CQ38" s="612"/>
      <c r="CR38" s="612"/>
      <c r="CS38" s="612"/>
      <c r="CT38" s="612"/>
      <c r="CU38" s="612"/>
      <c r="CV38" s="612"/>
      <c r="CW38" s="612"/>
      <c r="CX38" s="612"/>
      <c r="CY38" s="612"/>
      <c r="CZ38" s="612"/>
      <c r="DA38" s="612"/>
      <c r="DB38" s="612"/>
      <c r="DC38" s="612"/>
      <c r="DD38" s="612"/>
      <c r="DE38" s="612"/>
      <c r="DF38" s="612"/>
      <c r="DG38" s="612"/>
      <c r="DH38" s="612"/>
      <c r="DI38" s="612"/>
      <c r="DJ38" s="612"/>
      <c r="DK38" s="612"/>
      <c r="DL38" s="612"/>
      <c r="DM38" s="612"/>
      <c r="DN38" s="612"/>
      <c r="DO38" s="612"/>
      <c r="DP38" s="612"/>
      <c r="DQ38" s="612"/>
      <c r="DR38" s="612"/>
      <c r="DS38" s="612"/>
      <c r="DT38" s="612"/>
      <c r="DU38" s="612"/>
      <c r="DV38" s="612"/>
      <c r="DW38" s="612"/>
      <c r="DX38" s="612"/>
      <c r="DY38" s="612"/>
      <c r="DZ38" s="612"/>
      <c r="EA38" s="612"/>
      <c r="EB38" s="612"/>
      <c r="EC38" s="612"/>
      <c r="ED38" s="612"/>
      <c r="EE38" s="612"/>
      <c r="EF38" s="612"/>
      <c r="EG38" s="612"/>
      <c r="EH38" s="612"/>
      <c r="EI38" s="612"/>
      <c r="EJ38" s="612"/>
      <c r="EK38" s="612"/>
      <c r="EL38" s="612"/>
      <c r="EM38" s="612"/>
      <c r="EN38" s="612"/>
      <c r="EO38" s="612"/>
      <c r="EP38" s="612"/>
      <c r="EQ38" s="612"/>
      <c r="ER38" s="612"/>
      <c r="ES38" s="612"/>
      <c r="ET38" s="612"/>
      <c r="EU38" s="612"/>
      <c r="EV38" s="612"/>
      <c r="EW38" s="612"/>
      <c r="EX38" s="612"/>
      <c r="EY38" s="612"/>
      <c r="EZ38" s="612"/>
      <c r="FA38" s="612"/>
      <c r="FB38" s="612"/>
      <c r="FC38" s="612"/>
      <c r="FD38" s="612"/>
      <c r="FE38" s="612"/>
      <c r="FF38" s="612"/>
      <c r="FG38" s="612"/>
      <c r="FH38" s="612"/>
      <c r="FI38" s="612"/>
      <c r="FJ38" s="612"/>
      <c r="FK38" s="612"/>
      <c r="FL38" s="612"/>
      <c r="FM38" s="612"/>
      <c r="FN38" s="612"/>
      <c r="FO38" s="612"/>
      <c r="FP38" s="612"/>
      <c r="FQ38" s="612"/>
      <c r="FR38" s="612"/>
      <c r="FS38" s="612"/>
      <c r="FT38" s="612"/>
      <c r="FU38" s="612"/>
      <c r="FV38" s="612"/>
      <c r="FW38" s="612"/>
      <c r="FX38" s="612"/>
      <c r="FY38" s="612"/>
      <c r="FZ38" s="612"/>
      <c r="GA38" s="612"/>
      <c r="GB38" s="612"/>
      <c r="GC38" s="612"/>
      <c r="GD38" s="612"/>
      <c r="GE38" s="612"/>
      <c r="GF38" s="612"/>
      <c r="GG38" s="612"/>
      <c r="GH38" s="612"/>
      <c r="GI38" s="612"/>
      <c r="GJ38" s="612"/>
      <c r="GK38" s="612"/>
      <c r="GL38" s="612"/>
      <c r="GM38" s="612"/>
      <c r="GN38" s="612"/>
      <c r="GO38" s="612"/>
      <c r="GP38" s="612"/>
      <c r="GQ38" s="612"/>
      <c r="GR38" s="612"/>
      <c r="GS38" s="612"/>
      <c r="GT38" s="612"/>
      <c r="GU38" s="612"/>
      <c r="GV38" s="612"/>
      <c r="GW38" s="612"/>
      <c r="GX38" s="612"/>
      <c r="GY38" s="612"/>
      <c r="GZ38" s="612"/>
      <c r="HA38" s="612"/>
      <c r="HB38" s="612"/>
      <c r="HC38" s="612"/>
      <c r="HD38" s="612"/>
      <c r="HE38" s="612"/>
      <c r="HF38" s="612"/>
      <c r="HG38" s="612"/>
      <c r="HH38" s="612"/>
      <c r="HI38" s="612"/>
      <c r="HJ38" s="612"/>
      <c r="HK38" s="612"/>
      <c r="HL38" s="612"/>
      <c r="HM38" s="612"/>
      <c r="HN38" s="612"/>
      <c r="HO38" s="612"/>
      <c r="HP38" s="612"/>
      <c r="HQ38" s="612"/>
      <c r="HR38" s="612"/>
      <c r="HS38" s="612"/>
      <c r="HT38" s="612"/>
      <c r="HU38" s="612"/>
      <c r="HV38" s="612"/>
      <c r="HW38" s="612"/>
      <c r="HX38" s="612"/>
      <c r="HY38" s="612"/>
      <c r="HZ38" s="612"/>
      <c r="IA38" s="612"/>
      <c r="IB38" s="612"/>
      <c r="IC38" s="612"/>
      <c r="ID38" s="612"/>
      <c r="IE38" s="612"/>
      <c r="IF38" s="612"/>
      <c r="IG38" s="612"/>
      <c r="IH38" s="612"/>
      <c r="II38" s="612"/>
      <c r="IJ38" s="612"/>
      <c r="IK38" s="612"/>
      <c r="IL38" s="612"/>
      <c r="IM38" s="612"/>
      <c r="IN38" s="612"/>
      <c r="IO38" s="612"/>
      <c r="IP38" s="612"/>
      <c r="IQ38" s="612"/>
      <c r="IR38" s="612"/>
      <c r="IS38" s="612"/>
      <c r="IT38" s="612"/>
      <c r="IU38" s="612"/>
      <c r="IV38" s="612"/>
      <c r="IW38" s="612"/>
    </row>
    <row r="39" customFormat="false" ht="12.75" hidden="false" customHeight="false" outlineLevel="0" collapsed="false">
      <c r="A39" s="620" t="s">
        <v>406</v>
      </c>
      <c r="B39" s="624" t="n">
        <f aca="false">Assumptions!$O$51</f>
        <v>20</v>
      </c>
      <c r="D39" s="614" t="n">
        <f aca="false">1/Assumptions!$O$51*D9/12</f>
        <v>0.0334246575342466</v>
      </c>
      <c r="E39" s="614" t="n">
        <f aca="false">IF(E6=Assumptions!$O$51,1/Assumptions!$O$51-Depreciation!$D$39,IF(E6&lt;Assumptions!$O$51,1/Assumptions!$O$51,0))</f>
        <v>0.05</v>
      </c>
      <c r="F39" s="614" t="n">
        <f aca="false">IF(F6=Assumptions!$O$51,1/Assumptions!$O$51-Depreciation!$D$39,IF(F6&lt;Assumptions!$O$51,1/Assumptions!$O$51,0))</f>
        <v>0.05</v>
      </c>
      <c r="G39" s="614" t="n">
        <f aca="false">IF(G6=Assumptions!$O$51,1/Assumptions!$O$51-Depreciation!$D$39,IF(G6&lt;Assumptions!$O$51,1/Assumptions!$O$51,0))</f>
        <v>0.05</v>
      </c>
      <c r="H39" s="614" t="n">
        <f aca="false">IF(H6=Assumptions!$O$51,1/Assumptions!$O$51-Depreciation!$D$39,IF(H6&lt;Assumptions!$O$51,1/Assumptions!$O$51,0))</f>
        <v>0.05</v>
      </c>
      <c r="I39" s="614" t="n">
        <f aca="false">IF(I6=Assumptions!$O$51,1/Assumptions!$O$51-Depreciation!$D$39,IF(I6&lt;Assumptions!$O$51,1/Assumptions!$O$51,0))</f>
        <v>0.05</v>
      </c>
      <c r="J39" s="614" t="n">
        <f aca="false">IF(J6=Assumptions!$O$51,1/Assumptions!$O$51-Depreciation!$D$39,IF(J6&lt;Assumptions!$O$51,1/Assumptions!$O$51,0))</f>
        <v>0.05</v>
      </c>
      <c r="K39" s="614" t="n">
        <f aca="false">IF(K6=Assumptions!$O$51,1/Assumptions!$O$51-Depreciation!$D$39,IF(K6&lt;Assumptions!$O$51,1/Assumptions!$O$51,0))</f>
        <v>0.05</v>
      </c>
      <c r="L39" s="614" t="n">
        <f aca="false">IF(L6=Assumptions!$O$51,1/Assumptions!$O$51-Depreciation!$D$39,IF(L6&lt;Assumptions!$O$51,1/Assumptions!$O$51,0))</f>
        <v>0.05</v>
      </c>
      <c r="M39" s="614" t="n">
        <f aca="false">IF(M6=Assumptions!$O$51,1/Assumptions!$O$51-Depreciation!$D$39,IF(M6&lt;Assumptions!$O$51,1/Assumptions!$O$51,0))</f>
        <v>0.05</v>
      </c>
      <c r="N39" s="614" t="n">
        <f aca="false">IF(N6=Assumptions!$O$51,1/Assumptions!$O$51-Depreciation!$D$39,IF(N6&lt;Assumptions!$O$51,1/Assumptions!$O$51,0))</f>
        <v>0.05</v>
      </c>
      <c r="O39" s="614" t="n">
        <f aca="false">IF(O6=Assumptions!$O$51,1/Assumptions!$O$51-Depreciation!$D$39,IF(O6&lt;Assumptions!$O$51,1/Assumptions!$O$51,0))</f>
        <v>0.05</v>
      </c>
      <c r="P39" s="614" t="n">
        <f aca="false">IF(P6=Assumptions!$O$51,1/Assumptions!$O$51-Depreciation!$D$39,IF(P6&lt;Assumptions!$O$51,1/Assumptions!$O$51,0))</f>
        <v>0.05</v>
      </c>
      <c r="Q39" s="614" t="n">
        <f aca="false">IF(Q6=Assumptions!$O$51,1/Assumptions!$O$51-Depreciation!$D$39,IF(Q6&lt;Assumptions!$O$51,1/Assumptions!$O$51,0))</f>
        <v>0.05</v>
      </c>
      <c r="R39" s="614" t="n">
        <f aca="false">IF(R6=Assumptions!$O$51,1/Assumptions!$O$51-Depreciation!$D$39,IF(R6&lt;Assumptions!$O$51,1/Assumptions!$O$51,0))</f>
        <v>0.05</v>
      </c>
      <c r="S39" s="614" t="n">
        <f aca="false">IF(S6=Assumptions!$O$51,1/Assumptions!$O$51-Depreciation!$D$39,IF(S6&lt;Assumptions!$O$51,1/Assumptions!$O$51,0))</f>
        <v>0.05</v>
      </c>
      <c r="T39" s="614" t="n">
        <f aca="false">IF(T6=Assumptions!$O$51,1/Assumptions!$O$51-Depreciation!$D$39,IF(T6&lt;Assumptions!$O$51,1/Assumptions!$O$51,0))</f>
        <v>0.05</v>
      </c>
      <c r="U39" s="614" t="n">
        <f aca="false">IF(U6=Assumptions!$O$51,1/Assumptions!$O$51-Depreciation!$D$39,IF(U6&lt;Assumptions!$O$51,1/Assumptions!$O$51,0))</f>
        <v>0.05</v>
      </c>
      <c r="V39" s="614" t="n">
        <f aca="false">IF(V6=Assumptions!$O$51,1/Assumptions!$O$51-Depreciation!$D$39,IF(V6&lt;Assumptions!$O$51,1/Assumptions!$O$51,0))</f>
        <v>0.05</v>
      </c>
      <c r="W39" s="614" t="n">
        <f aca="false">IF(W6=Assumptions!$O$51,1/Assumptions!$O$51-Depreciation!$D$39,IF(W6&lt;Assumptions!$O$51,1/Assumptions!$O$51,0))</f>
        <v>0.05</v>
      </c>
      <c r="X39" s="614" t="n">
        <f aca="false">IF(X6=Assumptions!$O$51,1/Assumptions!$O$51-Depreciation!$D$39,IF(X6&lt;Assumptions!$O$51,1/Assumptions!$O$51,0))</f>
        <v>0</v>
      </c>
      <c r="Y39" s="614" t="n">
        <f aca="false">IF(Y6=Assumptions!$O$51,1/Assumptions!$O$51-Depreciation!$D$39,IF(Y6&lt;Assumptions!$O$51,1/Assumptions!$O$51,0))</f>
        <v>0</v>
      </c>
      <c r="Z39" s="614" t="n">
        <f aca="false">IF(Z6=Assumptions!$O$51,1/Assumptions!$O$51-Depreciation!$D$39,IF(Z6&lt;Assumptions!$O$51,1/Assumptions!$O$51,0))</f>
        <v>0</v>
      </c>
      <c r="AA39" s="614" t="n">
        <f aca="false">IF(AA6=Assumptions!$O$51,1/Assumptions!$O$51-Depreciation!$D$39,IF(AA6&lt;Assumptions!$O$51,1/Assumptions!$O$51,0))</f>
        <v>0</v>
      </c>
      <c r="AB39" s="614" t="n">
        <f aca="false">IF(AB6=Assumptions!$O$51,1/Assumptions!$O$51-Depreciation!$D$39,IF(AB6&lt;Assumptions!$O$51,1/Assumptions!$O$51,0))</f>
        <v>0</v>
      </c>
      <c r="AC39" s="614" t="n">
        <f aca="false">IF(AC6=Assumptions!$O$51,1/Assumptions!$O$51-Depreciation!$D$39,IF(AC6&lt;Assumptions!$O$51,1/Assumptions!$O$51,0))</f>
        <v>0</v>
      </c>
      <c r="AD39" s="614" t="n">
        <f aca="false">IF(AD6=Assumptions!$O$51,1/Assumptions!$O$51-Depreciation!$D$39,IF(AD6&lt;Assumptions!$O$51,1/Assumptions!$O$51,0))</f>
        <v>0</v>
      </c>
      <c r="AE39" s="614" t="n">
        <f aca="false">IF(AE6=Assumptions!$O$51,1/Assumptions!$O$51-Depreciation!$D$39,IF(AE6&lt;Assumptions!$O$51,1/Assumptions!$O$51,0))</f>
        <v>0</v>
      </c>
      <c r="AF39" s="614" t="n">
        <f aca="false">IF(AF6=Assumptions!$O$51,1/Assumptions!$O$51-Depreciation!$D$39,IF(AF6&lt;Assumptions!$O$51,1/Assumptions!$O$51,0))</f>
        <v>0</v>
      </c>
      <c r="AG39" s="614" t="n">
        <f aca="false">IF(AG6=Assumptions!$O$51,1/Assumptions!$O$51-Depreciation!$D$39,IF(AG6&lt;Assumptions!$O$51,1/Assumptions!$O$51,0))</f>
        <v>0</v>
      </c>
      <c r="AH39" s="614" t="n">
        <f aca="false">IF(AH6=Assumptions!$O$51,1/Assumptions!$O$51-Depreciation!$D$39,IF(AH6&lt;Assumptions!$O$51,1/Assumptions!$O$51,0))</f>
        <v>0</v>
      </c>
      <c r="AI39" s="612"/>
      <c r="AJ39" s="612"/>
      <c r="AK39" s="612"/>
      <c r="AL39" s="612"/>
      <c r="AM39" s="612"/>
      <c r="AN39" s="612"/>
      <c r="AO39" s="612"/>
      <c r="AP39" s="612"/>
      <c r="AQ39" s="612"/>
      <c r="AR39" s="612"/>
      <c r="AS39" s="612"/>
      <c r="AT39" s="612"/>
      <c r="AU39" s="612"/>
      <c r="AV39" s="612"/>
      <c r="AW39" s="612"/>
      <c r="AX39" s="612"/>
      <c r="AY39" s="612"/>
      <c r="AZ39" s="612"/>
      <c r="BA39" s="612"/>
      <c r="BB39" s="612"/>
      <c r="BC39" s="612"/>
      <c r="BD39" s="612"/>
      <c r="BE39" s="612"/>
      <c r="BF39" s="612"/>
      <c r="BG39" s="612"/>
      <c r="BH39" s="612"/>
      <c r="BI39" s="612"/>
      <c r="BJ39" s="612"/>
      <c r="BK39" s="612"/>
      <c r="BL39" s="612"/>
      <c r="BM39" s="612"/>
      <c r="BN39" s="612"/>
      <c r="BO39" s="612"/>
      <c r="BP39" s="612"/>
      <c r="BQ39" s="612"/>
      <c r="BR39" s="612"/>
      <c r="BS39" s="612"/>
      <c r="BT39" s="612"/>
      <c r="BU39" s="612"/>
      <c r="BV39" s="612"/>
      <c r="BW39" s="612"/>
      <c r="BX39" s="612"/>
      <c r="BY39" s="612"/>
      <c r="BZ39" s="612"/>
      <c r="CA39" s="612"/>
      <c r="CB39" s="612"/>
      <c r="CC39" s="612"/>
      <c r="CD39" s="612"/>
      <c r="CE39" s="612"/>
      <c r="CF39" s="612"/>
      <c r="CG39" s="612"/>
      <c r="CH39" s="612"/>
      <c r="CI39" s="612"/>
      <c r="CJ39" s="612"/>
      <c r="CK39" s="612"/>
      <c r="CL39" s="612"/>
      <c r="CM39" s="612"/>
      <c r="CN39" s="612"/>
      <c r="CO39" s="612"/>
      <c r="CP39" s="612"/>
      <c r="CQ39" s="612"/>
      <c r="CR39" s="612"/>
      <c r="CS39" s="612"/>
      <c r="CT39" s="612"/>
      <c r="CU39" s="612"/>
      <c r="CV39" s="612"/>
      <c r="CW39" s="612"/>
      <c r="CX39" s="612"/>
      <c r="CY39" s="612"/>
      <c r="CZ39" s="612"/>
      <c r="DA39" s="612"/>
      <c r="DB39" s="612"/>
      <c r="DC39" s="612"/>
      <c r="DD39" s="612"/>
      <c r="DE39" s="612"/>
      <c r="DF39" s="612"/>
      <c r="DG39" s="612"/>
      <c r="DH39" s="612"/>
      <c r="DI39" s="612"/>
      <c r="DJ39" s="612"/>
      <c r="DK39" s="612"/>
      <c r="DL39" s="612"/>
      <c r="DM39" s="612"/>
      <c r="DN39" s="612"/>
      <c r="DO39" s="612"/>
      <c r="DP39" s="612"/>
      <c r="DQ39" s="612"/>
      <c r="DR39" s="612"/>
      <c r="DS39" s="612"/>
      <c r="DT39" s="612"/>
      <c r="DU39" s="612"/>
      <c r="DV39" s="612"/>
      <c r="DW39" s="612"/>
      <c r="DX39" s="612"/>
      <c r="DY39" s="612"/>
      <c r="DZ39" s="612"/>
      <c r="EA39" s="612"/>
      <c r="EB39" s="612"/>
      <c r="EC39" s="612"/>
      <c r="ED39" s="612"/>
      <c r="EE39" s="612"/>
      <c r="EF39" s="612"/>
      <c r="EG39" s="612"/>
      <c r="EH39" s="612"/>
      <c r="EI39" s="612"/>
      <c r="EJ39" s="612"/>
      <c r="EK39" s="612"/>
      <c r="EL39" s="612"/>
      <c r="EM39" s="612"/>
      <c r="EN39" s="612"/>
      <c r="EO39" s="612"/>
      <c r="EP39" s="612"/>
      <c r="EQ39" s="612"/>
      <c r="ER39" s="612"/>
      <c r="ES39" s="612"/>
      <c r="ET39" s="612"/>
      <c r="EU39" s="612"/>
      <c r="EV39" s="612"/>
      <c r="EW39" s="612"/>
      <c r="EX39" s="612"/>
      <c r="EY39" s="612"/>
      <c r="EZ39" s="612"/>
      <c r="FA39" s="612"/>
      <c r="FB39" s="612"/>
      <c r="FC39" s="612"/>
      <c r="FD39" s="612"/>
      <c r="FE39" s="612"/>
      <c r="FF39" s="612"/>
      <c r="FG39" s="612"/>
      <c r="FH39" s="612"/>
      <c r="FI39" s="612"/>
      <c r="FJ39" s="612"/>
      <c r="FK39" s="612"/>
      <c r="FL39" s="612"/>
      <c r="FM39" s="612"/>
      <c r="FN39" s="612"/>
      <c r="FO39" s="612"/>
      <c r="FP39" s="612"/>
      <c r="FQ39" s="612"/>
      <c r="FR39" s="612"/>
      <c r="FS39" s="612"/>
      <c r="FT39" s="612"/>
      <c r="FU39" s="612"/>
      <c r="FV39" s="612"/>
      <c r="FW39" s="612"/>
      <c r="FX39" s="612"/>
      <c r="FY39" s="612"/>
      <c r="FZ39" s="612"/>
      <c r="GA39" s="612"/>
      <c r="GB39" s="612"/>
      <c r="GC39" s="612"/>
      <c r="GD39" s="612"/>
      <c r="GE39" s="612"/>
      <c r="GF39" s="612"/>
      <c r="GG39" s="612"/>
      <c r="GH39" s="612"/>
      <c r="GI39" s="612"/>
      <c r="GJ39" s="612"/>
      <c r="GK39" s="612"/>
      <c r="GL39" s="612"/>
      <c r="GM39" s="612"/>
      <c r="GN39" s="612"/>
      <c r="GO39" s="612"/>
      <c r="GP39" s="612"/>
      <c r="GQ39" s="612"/>
      <c r="GR39" s="612"/>
      <c r="GS39" s="612"/>
      <c r="GT39" s="612"/>
      <c r="GU39" s="612"/>
      <c r="GV39" s="612"/>
      <c r="GW39" s="612"/>
      <c r="GX39" s="612"/>
      <c r="GY39" s="612"/>
      <c r="GZ39" s="612"/>
      <c r="HA39" s="612"/>
      <c r="HB39" s="612"/>
      <c r="HC39" s="612"/>
      <c r="HD39" s="612"/>
      <c r="HE39" s="612"/>
      <c r="HF39" s="612"/>
      <c r="HG39" s="612"/>
      <c r="HH39" s="612"/>
      <c r="HI39" s="612"/>
      <c r="HJ39" s="612"/>
      <c r="HK39" s="612"/>
      <c r="HL39" s="612"/>
      <c r="HM39" s="612"/>
      <c r="HN39" s="612"/>
      <c r="HO39" s="612"/>
      <c r="HP39" s="612"/>
      <c r="HQ39" s="612"/>
      <c r="HR39" s="612"/>
      <c r="HS39" s="612"/>
      <c r="HT39" s="612"/>
      <c r="HU39" s="612"/>
      <c r="HV39" s="612"/>
      <c r="HW39" s="612"/>
      <c r="HX39" s="612"/>
      <c r="HY39" s="612"/>
      <c r="HZ39" s="612"/>
      <c r="IA39" s="612"/>
      <c r="IB39" s="612"/>
      <c r="IC39" s="612"/>
      <c r="ID39" s="612"/>
      <c r="IE39" s="612"/>
      <c r="IF39" s="612"/>
      <c r="IG39" s="612"/>
      <c r="IH39" s="612"/>
      <c r="II39" s="612"/>
      <c r="IJ39" s="612"/>
      <c r="IK39" s="612"/>
      <c r="IL39" s="612"/>
      <c r="IM39" s="612"/>
      <c r="IN39" s="612"/>
      <c r="IO39" s="612"/>
      <c r="IP39" s="612"/>
      <c r="IQ39" s="612"/>
      <c r="IR39" s="612"/>
      <c r="IS39" s="612"/>
      <c r="IT39" s="612"/>
      <c r="IU39" s="612"/>
      <c r="IV39" s="612"/>
      <c r="IW39" s="612"/>
    </row>
    <row r="40" customFormat="false" ht="12.75" hidden="false" customHeight="false" outlineLevel="0" collapsed="false">
      <c r="B40" s="613"/>
      <c r="D40" s="637"/>
      <c r="E40" s="637"/>
      <c r="F40" s="637"/>
      <c r="G40" s="637"/>
      <c r="H40" s="637"/>
      <c r="I40" s="637"/>
      <c r="J40" s="637"/>
      <c r="K40" s="637"/>
      <c r="L40" s="637"/>
      <c r="M40" s="637"/>
      <c r="N40" s="637"/>
      <c r="O40" s="637"/>
      <c r="P40" s="637"/>
      <c r="Q40" s="637"/>
      <c r="R40" s="637"/>
      <c r="S40" s="637"/>
      <c r="T40" s="637"/>
      <c r="U40" s="637"/>
      <c r="V40" s="637"/>
      <c r="W40" s="637"/>
      <c r="X40" s="637"/>
      <c r="Y40" s="637"/>
      <c r="Z40" s="637"/>
      <c r="AA40" s="637"/>
      <c r="AB40" s="637"/>
      <c r="AC40" s="637"/>
      <c r="AD40" s="637"/>
      <c r="AE40" s="637"/>
      <c r="AF40" s="637"/>
      <c r="AG40" s="637"/>
      <c r="AH40" s="637"/>
      <c r="AI40" s="612"/>
      <c r="AJ40" s="612"/>
      <c r="AK40" s="612"/>
      <c r="AL40" s="612"/>
      <c r="AM40" s="612"/>
      <c r="AN40" s="612"/>
      <c r="AO40" s="612"/>
      <c r="AP40" s="612"/>
      <c r="AQ40" s="612"/>
      <c r="AR40" s="612"/>
      <c r="AS40" s="612"/>
      <c r="AT40" s="612"/>
      <c r="AU40" s="612"/>
      <c r="AV40" s="612"/>
      <c r="AW40" s="612"/>
      <c r="AX40" s="612"/>
      <c r="AY40" s="612"/>
      <c r="AZ40" s="612"/>
      <c r="BA40" s="612"/>
      <c r="BB40" s="612"/>
      <c r="BC40" s="612"/>
      <c r="BD40" s="612"/>
      <c r="BE40" s="612"/>
      <c r="BF40" s="612"/>
      <c r="BG40" s="612"/>
      <c r="BH40" s="612"/>
      <c r="BI40" s="612"/>
      <c r="BJ40" s="612"/>
      <c r="BK40" s="612"/>
      <c r="BL40" s="612"/>
      <c r="BM40" s="612"/>
      <c r="BN40" s="612"/>
      <c r="BO40" s="612"/>
      <c r="BP40" s="612"/>
      <c r="BQ40" s="612"/>
      <c r="BR40" s="612"/>
      <c r="BS40" s="612"/>
      <c r="BT40" s="612"/>
      <c r="BU40" s="612"/>
      <c r="BV40" s="612"/>
      <c r="BW40" s="612"/>
      <c r="BX40" s="612"/>
      <c r="BY40" s="612"/>
      <c r="BZ40" s="612"/>
      <c r="CA40" s="612"/>
      <c r="CB40" s="612"/>
      <c r="CC40" s="612"/>
      <c r="CD40" s="612"/>
      <c r="CE40" s="612"/>
      <c r="CF40" s="612"/>
      <c r="CG40" s="612"/>
      <c r="CH40" s="612"/>
      <c r="CI40" s="612"/>
      <c r="CJ40" s="612"/>
      <c r="CK40" s="612"/>
      <c r="CL40" s="612"/>
      <c r="CM40" s="612"/>
      <c r="CN40" s="612"/>
      <c r="CO40" s="612"/>
      <c r="CP40" s="612"/>
      <c r="CQ40" s="612"/>
      <c r="CR40" s="612"/>
      <c r="CS40" s="612"/>
      <c r="CT40" s="612"/>
      <c r="CU40" s="612"/>
      <c r="CV40" s="612"/>
      <c r="CW40" s="612"/>
      <c r="CX40" s="612"/>
      <c r="CY40" s="612"/>
      <c r="CZ40" s="612"/>
      <c r="DA40" s="612"/>
      <c r="DB40" s="612"/>
      <c r="DC40" s="612"/>
      <c r="DD40" s="612"/>
      <c r="DE40" s="612"/>
      <c r="DF40" s="612"/>
      <c r="DG40" s="612"/>
      <c r="DH40" s="612"/>
      <c r="DI40" s="612"/>
      <c r="DJ40" s="612"/>
      <c r="DK40" s="612"/>
      <c r="DL40" s="612"/>
      <c r="DM40" s="612"/>
      <c r="DN40" s="612"/>
      <c r="DO40" s="612"/>
      <c r="DP40" s="612"/>
      <c r="DQ40" s="612"/>
      <c r="DR40" s="612"/>
      <c r="DS40" s="612"/>
      <c r="DT40" s="612"/>
      <c r="DU40" s="612"/>
      <c r="DV40" s="612"/>
      <c r="DW40" s="612"/>
      <c r="DX40" s="612"/>
      <c r="DY40" s="612"/>
      <c r="DZ40" s="612"/>
      <c r="EA40" s="612"/>
      <c r="EB40" s="612"/>
      <c r="EC40" s="612"/>
      <c r="ED40" s="612"/>
      <c r="EE40" s="612"/>
      <c r="EF40" s="612"/>
      <c r="EG40" s="612"/>
      <c r="EH40" s="612"/>
      <c r="EI40" s="612"/>
      <c r="EJ40" s="612"/>
      <c r="EK40" s="612"/>
      <c r="EL40" s="612"/>
      <c r="EM40" s="612"/>
      <c r="EN40" s="612"/>
      <c r="EO40" s="612"/>
      <c r="EP40" s="612"/>
      <c r="EQ40" s="612"/>
      <c r="ER40" s="612"/>
      <c r="ES40" s="612"/>
      <c r="ET40" s="612"/>
      <c r="EU40" s="612"/>
      <c r="EV40" s="612"/>
      <c r="EW40" s="612"/>
      <c r="EX40" s="612"/>
      <c r="EY40" s="612"/>
      <c r="EZ40" s="612"/>
      <c r="FA40" s="612"/>
      <c r="FB40" s="612"/>
      <c r="FC40" s="612"/>
      <c r="FD40" s="612"/>
      <c r="FE40" s="612"/>
      <c r="FF40" s="612"/>
      <c r="FG40" s="612"/>
      <c r="FH40" s="612"/>
      <c r="FI40" s="612"/>
      <c r="FJ40" s="612"/>
      <c r="FK40" s="612"/>
      <c r="FL40" s="612"/>
      <c r="FM40" s="612"/>
      <c r="FN40" s="612"/>
      <c r="FO40" s="612"/>
      <c r="FP40" s="612"/>
      <c r="FQ40" s="612"/>
      <c r="FR40" s="612"/>
      <c r="FS40" s="612"/>
      <c r="FT40" s="612"/>
      <c r="FU40" s="612"/>
      <c r="FV40" s="612"/>
      <c r="FW40" s="612"/>
      <c r="FX40" s="612"/>
      <c r="FY40" s="612"/>
      <c r="FZ40" s="612"/>
      <c r="GA40" s="612"/>
      <c r="GB40" s="612"/>
      <c r="GC40" s="612"/>
      <c r="GD40" s="612"/>
      <c r="GE40" s="612"/>
      <c r="GF40" s="612"/>
      <c r="GG40" s="612"/>
      <c r="GH40" s="612"/>
      <c r="GI40" s="612"/>
      <c r="GJ40" s="612"/>
      <c r="GK40" s="612"/>
      <c r="GL40" s="612"/>
      <c r="GM40" s="612"/>
      <c r="GN40" s="612"/>
      <c r="GO40" s="612"/>
      <c r="GP40" s="612"/>
      <c r="GQ40" s="612"/>
      <c r="GR40" s="612"/>
      <c r="GS40" s="612"/>
      <c r="GT40" s="612"/>
      <c r="GU40" s="612"/>
      <c r="GV40" s="612"/>
      <c r="GW40" s="612"/>
      <c r="GX40" s="612"/>
      <c r="GY40" s="612"/>
      <c r="GZ40" s="612"/>
      <c r="HA40" s="612"/>
      <c r="HB40" s="612"/>
      <c r="HC40" s="612"/>
      <c r="HD40" s="612"/>
      <c r="HE40" s="612"/>
      <c r="HF40" s="612"/>
      <c r="HG40" s="612"/>
      <c r="HH40" s="612"/>
      <c r="HI40" s="612"/>
      <c r="HJ40" s="612"/>
      <c r="HK40" s="612"/>
      <c r="HL40" s="612"/>
      <c r="HM40" s="612"/>
      <c r="HN40" s="612"/>
      <c r="HO40" s="612"/>
      <c r="HP40" s="612"/>
      <c r="HQ40" s="612"/>
      <c r="HR40" s="612"/>
      <c r="HS40" s="612"/>
      <c r="HT40" s="612"/>
      <c r="HU40" s="612"/>
      <c r="HV40" s="612"/>
      <c r="HW40" s="612"/>
      <c r="HX40" s="612"/>
      <c r="HY40" s="612"/>
      <c r="HZ40" s="612"/>
      <c r="IA40" s="612"/>
      <c r="IB40" s="612"/>
      <c r="IC40" s="612"/>
      <c r="ID40" s="612"/>
      <c r="IE40" s="612"/>
      <c r="IF40" s="612"/>
      <c r="IG40" s="612"/>
      <c r="IH40" s="612"/>
      <c r="II40" s="612"/>
      <c r="IJ40" s="612"/>
      <c r="IK40" s="612"/>
      <c r="IL40" s="612"/>
      <c r="IM40" s="612"/>
      <c r="IN40" s="612"/>
      <c r="IO40" s="612"/>
      <c r="IP40" s="612"/>
      <c r="IQ40" s="612"/>
      <c r="IR40" s="612"/>
      <c r="IS40" s="612"/>
      <c r="IT40" s="612"/>
      <c r="IU40" s="612"/>
      <c r="IV40" s="612"/>
      <c r="IW40" s="612"/>
    </row>
    <row r="41" customFormat="false" ht="12.75" hidden="false" customHeight="false" outlineLevel="0" collapsed="false">
      <c r="A41" s="616" t="s">
        <v>413</v>
      </c>
      <c r="B41" s="625" t="n">
        <f aca="false">B17</f>
        <v>126615.782155181</v>
      </c>
      <c r="C41" s="626"/>
      <c r="D41" s="627" t="n">
        <f aca="false">D38*$B$41</f>
        <v>2821.3927713118</v>
      </c>
      <c r="E41" s="627" t="n">
        <f aca="false">E38*$B$41</f>
        <v>6330.78910775906</v>
      </c>
      <c r="F41" s="627" t="n">
        <f aca="false">F38*$B$41</f>
        <v>6330.78910775906</v>
      </c>
      <c r="G41" s="627" t="n">
        <f aca="false">G38*$B$41</f>
        <v>6330.78910775906</v>
      </c>
      <c r="H41" s="627" t="n">
        <f aca="false">H38*$B$41</f>
        <v>6330.78910775906</v>
      </c>
      <c r="I41" s="627" t="n">
        <f aca="false">I38*$B$41</f>
        <v>6330.78910775906</v>
      </c>
      <c r="J41" s="627" t="n">
        <f aca="false">J38*$B$41</f>
        <v>6330.78910775906</v>
      </c>
      <c r="K41" s="627" t="n">
        <f aca="false">K38*$B$41</f>
        <v>6330.78910775906</v>
      </c>
      <c r="L41" s="627" t="n">
        <f aca="false">L38*$B$41</f>
        <v>6330.78910775906</v>
      </c>
      <c r="M41" s="627" t="n">
        <f aca="false">M38*$B$41</f>
        <v>6330.78910775906</v>
      </c>
      <c r="N41" s="627" t="n">
        <f aca="false">N38*$B$41</f>
        <v>6330.78910775906</v>
      </c>
      <c r="O41" s="627" t="n">
        <f aca="false">O38*$B$41</f>
        <v>6330.78910775906</v>
      </c>
      <c r="P41" s="627" t="n">
        <f aca="false">P38*$B$41</f>
        <v>6330.78910775906</v>
      </c>
      <c r="Q41" s="627" t="n">
        <f aca="false">Q38*$B$41</f>
        <v>6330.78910775906</v>
      </c>
      <c r="R41" s="627" t="n">
        <f aca="false">R38*$B$41</f>
        <v>6330.78910775906</v>
      </c>
      <c r="S41" s="627" t="n">
        <f aca="false">S38*$B$41</f>
        <v>6330.78910775906</v>
      </c>
      <c r="T41" s="627" t="n">
        <f aca="false">T38*$B$41</f>
        <v>6330.78910775906</v>
      </c>
      <c r="U41" s="627" t="n">
        <f aca="false">U38*$B$41</f>
        <v>6330.78910775906</v>
      </c>
      <c r="V41" s="627" t="n">
        <f aca="false">V38*$B$41</f>
        <v>6330.78910775906</v>
      </c>
      <c r="W41" s="627" t="n">
        <f aca="false">W38*$B$41</f>
        <v>6330.78910775906</v>
      </c>
      <c r="X41" s="627" t="n">
        <f aca="false">X38*$B$41</f>
        <v>6330.78910775906</v>
      </c>
      <c r="Y41" s="627" t="n">
        <f aca="false">Y38*$B$41</f>
        <v>6330.78910775906</v>
      </c>
      <c r="Z41" s="627" t="n">
        <f aca="false">Z38*$B$41</f>
        <v>6330.78910775906</v>
      </c>
      <c r="AA41" s="627" t="n">
        <f aca="false">AA38*$B$41</f>
        <v>6330.78910775906</v>
      </c>
      <c r="AB41" s="627" t="n">
        <f aca="false">AB38*$B$41</f>
        <v>6330.78910775906</v>
      </c>
      <c r="AC41" s="627" t="n">
        <f aca="false">AC38*$B$41</f>
        <v>6330.78910775906</v>
      </c>
      <c r="AD41" s="627" t="n">
        <f aca="false">AD38*$B$41</f>
        <v>6330.78910775906</v>
      </c>
      <c r="AE41" s="627" t="n">
        <f aca="false">AE38*$B$41</f>
        <v>6330.78910775906</v>
      </c>
      <c r="AF41" s="627" t="n">
        <f aca="false">AF38*$B$41</f>
        <v>6330.78910775906</v>
      </c>
      <c r="AG41" s="627" t="n">
        <f aca="false">AG38*$B$41</f>
        <v>6330.78910775906</v>
      </c>
      <c r="AH41" s="627" t="n">
        <f aca="false">AH38*$B$41</f>
        <v>0</v>
      </c>
      <c r="AI41" s="612"/>
      <c r="AJ41" s="612"/>
      <c r="AK41" s="612"/>
      <c r="AL41" s="612"/>
      <c r="AM41" s="612"/>
      <c r="AN41" s="612"/>
      <c r="AO41" s="612"/>
      <c r="AP41" s="612"/>
      <c r="AQ41" s="612"/>
      <c r="AR41" s="612"/>
      <c r="AS41" s="612"/>
      <c r="AT41" s="612"/>
      <c r="AU41" s="612"/>
      <c r="AV41" s="612"/>
      <c r="AW41" s="612"/>
      <c r="AX41" s="612"/>
      <c r="AY41" s="612"/>
      <c r="AZ41" s="612"/>
      <c r="BA41" s="612"/>
      <c r="BB41" s="612"/>
      <c r="BC41" s="612"/>
      <c r="BD41" s="612"/>
      <c r="BE41" s="612"/>
      <c r="BF41" s="612"/>
      <c r="BG41" s="612"/>
      <c r="BH41" s="612"/>
      <c r="BI41" s="612"/>
      <c r="BJ41" s="612"/>
      <c r="BK41" s="612"/>
      <c r="BL41" s="612"/>
      <c r="BM41" s="612"/>
      <c r="BN41" s="612"/>
      <c r="BO41" s="612"/>
      <c r="BP41" s="612"/>
      <c r="BQ41" s="612"/>
      <c r="BR41" s="612"/>
      <c r="BS41" s="612"/>
      <c r="BT41" s="612"/>
      <c r="BU41" s="612"/>
      <c r="BV41" s="612"/>
      <c r="BW41" s="612"/>
      <c r="BX41" s="612"/>
      <c r="BY41" s="612"/>
      <c r="BZ41" s="612"/>
      <c r="CA41" s="612"/>
      <c r="CB41" s="612"/>
      <c r="CC41" s="612"/>
      <c r="CD41" s="612"/>
      <c r="CE41" s="612"/>
      <c r="CF41" s="612"/>
      <c r="CG41" s="612"/>
      <c r="CH41" s="612"/>
      <c r="CI41" s="612"/>
      <c r="CJ41" s="612"/>
      <c r="CK41" s="612"/>
      <c r="CL41" s="612"/>
      <c r="CM41" s="612"/>
      <c r="CN41" s="612"/>
      <c r="CO41" s="612"/>
      <c r="CP41" s="612"/>
      <c r="CQ41" s="612"/>
      <c r="CR41" s="612"/>
      <c r="CS41" s="612"/>
      <c r="CT41" s="612"/>
      <c r="CU41" s="612"/>
      <c r="CV41" s="612"/>
      <c r="CW41" s="612"/>
      <c r="CX41" s="612"/>
      <c r="CY41" s="612"/>
      <c r="CZ41" s="612"/>
      <c r="DA41" s="612"/>
      <c r="DB41" s="612"/>
      <c r="DC41" s="612"/>
      <c r="DD41" s="612"/>
      <c r="DE41" s="612"/>
      <c r="DF41" s="612"/>
      <c r="DG41" s="612"/>
      <c r="DH41" s="612"/>
      <c r="DI41" s="612"/>
      <c r="DJ41" s="612"/>
      <c r="DK41" s="612"/>
      <c r="DL41" s="612"/>
      <c r="DM41" s="612"/>
      <c r="DN41" s="612"/>
      <c r="DO41" s="612"/>
      <c r="DP41" s="612"/>
      <c r="DQ41" s="612"/>
      <c r="DR41" s="612"/>
      <c r="DS41" s="612"/>
      <c r="DT41" s="612"/>
      <c r="DU41" s="612"/>
      <c r="DV41" s="612"/>
      <c r="DW41" s="612"/>
      <c r="DX41" s="612"/>
      <c r="DY41" s="612"/>
      <c r="DZ41" s="612"/>
      <c r="EA41" s="612"/>
      <c r="EB41" s="612"/>
      <c r="EC41" s="612"/>
      <c r="ED41" s="612"/>
      <c r="EE41" s="612"/>
      <c r="EF41" s="612"/>
      <c r="EG41" s="612"/>
      <c r="EH41" s="612"/>
      <c r="EI41" s="612"/>
      <c r="EJ41" s="612"/>
      <c r="EK41" s="612"/>
      <c r="EL41" s="612"/>
      <c r="EM41" s="612"/>
      <c r="EN41" s="612"/>
      <c r="EO41" s="612"/>
      <c r="EP41" s="612"/>
      <c r="EQ41" s="612"/>
      <c r="ER41" s="612"/>
      <c r="ES41" s="612"/>
      <c r="ET41" s="612"/>
      <c r="EU41" s="612"/>
      <c r="EV41" s="612"/>
      <c r="EW41" s="612"/>
      <c r="EX41" s="612"/>
      <c r="EY41" s="612"/>
      <c r="EZ41" s="612"/>
      <c r="FA41" s="612"/>
      <c r="FB41" s="612"/>
      <c r="FC41" s="612"/>
      <c r="FD41" s="612"/>
      <c r="FE41" s="612"/>
      <c r="FF41" s="612"/>
      <c r="FG41" s="612"/>
      <c r="FH41" s="612"/>
      <c r="FI41" s="612"/>
      <c r="FJ41" s="612"/>
      <c r="FK41" s="612"/>
      <c r="FL41" s="612"/>
      <c r="FM41" s="612"/>
      <c r="FN41" s="612"/>
      <c r="FO41" s="612"/>
      <c r="FP41" s="612"/>
      <c r="FQ41" s="612"/>
      <c r="FR41" s="612"/>
      <c r="FS41" s="612"/>
      <c r="FT41" s="612"/>
      <c r="FU41" s="612"/>
      <c r="FV41" s="612"/>
      <c r="FW41" s="612"/>
      <c r="FX41" s="612"/>
      <c r="FY41" s="612"/>
      <c r="FZ41" s="612"/>
      <c r="GA41" s="612"/>
      <c r="GB41" s="612"/>
      <c r="GC41" s="612"/>
      <c r="GD41" s="612"/>
      <c r="GE41" s="612"/>
      <c r="GF41" s="612"/>
      <c r="GG41" s="612"/>
      <c r="GH41" s="612"/>
      <c r="GI41" s="612"/>
      <c r="GJ41" s="612"/>
      <c r="GK41" s="612"/>
      <c r="GL41" s="612"/>
      <c r="GM41" s="612"/>
      <c r="GN41" s="612"/>
      <c r="GO41" s="612"/>
      <c r="GP41" s="612"/>
      <c r="GQ41" s="612"/>
      <c r="GR41" s="612"/>
      <c r="GS41" s="612"/>
      <c r="GT41" s="612"/>
      <c r="GU41" s="612"/>
      <c r="GV41" s="612"/>
      <c r="GW41" s="612"/>
      <c r="GX41" s="612"/>
      <c r="GY41" s="612"/>
      <c r="GZ41" s="612"/>
      <c r="HA41" s="612"/>
      <c r="HB41" s="612"/>
      <c r="HC41" s="612"/>
      <c r="HD41" s="612"/>
      <c r="HE41" s="612"/>
      <c r="HF41" s="612"/>
      <c r="HG41" s="612"/>
      <c r="HH41" s="612"/>
      <c r="HI41" s="612"/>
      <c r="HJ41" s="612"/>
      <c r="HK41" s="612"/>
      <c r="HL41" s="612"/>
      <c r="HM41" s="612"/>
      <c r="HN41" s="612"/>
      <c r="HO41" s="612"/>
      <c r="HP41" s="612"/>
      <c r="HQ41" s="612"/>
      <c r="HR41" s="612"/>
      <c r="HS41" s="612"/>
      <c r="HT41" s="612"/>
      <c r="HU41" s="612"/>
      <c r="HV41" s="612"/>
      <c r="HW41" s="612"/>
      <c r="HX41" s="612"/>
      <c r="HY41" s="612"/>
      <c r="HZ41" s="612"/>
      <c r="IA41" s="612"/>
      <c r="IB41" s="612"/>
      <c r="IC41" s="612"/>
      <c r="ID41" s="612"/>
      <c r="IE41" s="612"/>
      <c r="IF41" s="612"/>
      <c r="IG41" s="612"/>
      <c r="IH41" s="612"/>
      <c r="II41" s="612"/>
      <c r="IJ41" s="612"/>
      <c r="IK41" s="612"/>
      <c r="IL41" s="612"/>
      <c r="IM41" s="612"/>
      <c r="IN41" s="612"/>
      <c r="IO41" s="612"/>
      <c r="IP41" s="612"/>
      <c r="IQ41" s="612"/>
      <c r="IR41" s="612"/>
      <c r="IS41" s="612"/>
      <c r="IT41" s="612"/>
      <c r="IU41" s="612"/>
      <c r="IV41" s="612"/>
      <c r="IW41" s="612"/>
    </row>
    <row r="42" customFormat="false" ht="15" hidden="false" customHeight="false" outlineLevel="0" collapsed="false">
      <c r="A42" s="620" t="s">
        <v>406</v>
      </c>
      <c r="B42" s="628" t="n">
        <f aca="false">B18</f>
        <v>900</v>
      </c>
      <c r="C42" s="626"/>
      <c r="D42" s="629" t="n">
        <f aca="false">D39*$B$42</f>
        <v>30.0821917808219</v>
      </c>
      <c r="E42" s="629" t="n">
        <f aca="false">E39*$B$42</f>
        <v>45</v>
      </c>
      <c r="F42" s="629" t="n">
        <f aca="false">F39*$B$42</f>
        <v>45</v>
      </c>
      <c r="G42" s="629" t="n">
        <f aca="false">G39*$B$42</f>
        <v>45</v>
      </c>
      <c r="H42" s="629" t="n">
        <f aca="false">H39*$B$42</f>
        <v>45</v>
      </c>
      <c r="I42" s="629" t="n">
        <f aca="false">I39*$B$42</f>
        <v>45</v>
      </c>
      <c r="J42" s="629" t="n">
        <f aca="false">J39*$B$42</f>
        <v>45</v>
      </c>
      <c r="K42" s="629" t="n">
        <f aca="false">K39*$B$42</f>
        <v>45</v>
      </c>
      <c r="L42" s="629" t="n">
        <f aca="false">L39*$B$42</f>
        <v>45</v>
      </c>
      <c r="M42" s="629" t="n">
        <f aca="false">M39*$B$42</f>
        <v>45</v>
      </c>
      <c r="N42" s="629" t="n">
        <f aca="false">N39*$B$42</f>
        <v>45</v>
      </c>
      <c r="O42" s="629" t="n">
        <f aca="false">O39*$B$42</f>
        <v>45</v>
      </c>
      <c r="P42" s="629" t="n">
        <f aca="false">P39*$B$42</f>
        <v>45</v>
      </c>
      <c r="Q42" s="629" t="n">
        <f aca="false">Q39*$B$42</f>
        <v>45</v>
      </c>
      <c r="R42" s="629" t="n">
        <f aca="false">R39*$B$42</f>
        <v>45</v>
      </c>
      <c r="S42" s="629" t="n">
        <f aca="false">S39*$B$42</f>
        <v>45</v>
      </c>
      <c r="T42" s="629" t="n">
        <f aca="false">T39*$B$42</f>
        <v>45</v>
      </c>
      <c r="U42" s="629" t="n">
        <f aca="false">U39*$B$42</f>
        <v>45</v>
      </c>
      <c r="V42" s="629" t="n">
        <f aca="false">V39*$B$42</f>
        <v>45</v>
      </c>
      <c r="W42" s="629" t="n">
        <f aca="false">W39*$B$42</f>
        <v>45</v>
      </c>
      <c r="X42" s="629" t="n">
        <f aca="false">X39*$B$42</f>
        <v>0</v>
      </c>
      <c r="Y42" s="629" t="n">
        <f aca="false">Y39*$B$42</f>
        <v>0</v>
      </c>
      <c r="Z42" s="629" t="n">
        <f aca="false">Z39*$B$42</f>
        <v>0</v>
      </c>
      <c r="AA42" s="629" t="n">
        <f aca="false">AA39*$B$42</f>
        <v>0</v>
      </c>
      <c r="AB42" s="629" t="n">
        <f aca="false">AB39*$B$42</f>
        <v>0</v>
      </c>
      <c r="AC42" s="629" t="n">
        <f aca="false">AC39*$B$42</f>
        <v>0</v>
      </c>
      <c r="AD42" s="629" t="n">
        <f aca="false">AD39*$B$42</f>
        <v>0</v>
      </c>
      <c r="AE42" s="629" t="n">
        <f aca="false">AE39*$B$42</f>
        <v>0</v>
      </c>
      <c r="AF42" s="629" t="n">
        <f aca="false">AF39*$B$42</f>
        <v>0</v>
      </c>
      <c r="AG42" s="629" t="n">
        <f aca="false">AG39*$B$42</f>
        <v>0</v>
      </c>
      <c r="AH42" s="629" t="n">
        <f aca="false">AH39*$B$42</f>
        <v>0</v>
      </c>
      <c r="AI42" s="612"/>
      <c r="AJ42" s="612"/>
      <c r="AK42" s="612"/>
      <c r="AL42" s="612"/>
      <c r="AM42" s="612"/>
      <c r="AN42" s="612"/>
      <c r="AO42" s="612"/>
      <c r="AP42" s="612"/>
      <c r="AQ42" s="612"/>
      <c r="AR42" s="612"/>
      <c r="AS42" s="612"/>
      <c r="AT42" s="612"/>
      <c r="AU42" s="612"/>
      <c r="AV42" s="612"/>
      <c r="AW42" s="612"/>
      <c r="AX42" s="612"/>
      <c r="AY42" s="612"/>
      <c r="AZ42" s="612"/>
      <c r="BA42" s="612"/>
      <c r="BB42" s="612"/>
      <c r="BC42" s="612"/>
      <c r="BD42" s="612"/>
      <c r="BE42" s="612"/>
      <c r="BF42" s="612"/>
      <c r="BG42" s="612"/>
      <c r="BH42" s="612"/>
      <c r="BI42" s="612"/>
      <c r="BJ42" s="612"/>
      <c r="BK42" s="612"/>
      <c r="BL42" s="612"/>
      <c r="BM42" s="612"/>
      <c r="BN42" s="612"/>
      <c r="BO42" s="612"/>
      <c r="BP42" s="612"/>
      <c r="BQ42" s="612"/>
      <c r="BR42" s="612"/>
      <c r="BS42" s="612"/>
      <c r="BT42" s="612"/>
      <c r="BU42" s="612"/>
      <c r="BV42" s="612"/>
      <c r="BW42" s="612"/>
      <c r="BX42" s="612"/>
      <c r="BY42" s="612"/>
      <c r="BZ42" s="612"/>
      <c r="CA42" s="612"/>
      <c r="CB42" s="612"/>
      <c r="CC42" s="612"/>
      <c r="CD42" s="612"/>
      <c r="CE42" s="612"/>
      <c r="CF42" s="612"/>
      <c r="CG42" s="612"/>
      <c r="CH42" s="612"/>
      <c r="CI42" s="612"/>
      <c r="CJ42" s="612"/>
      <c r="CK42" s="612"/>
      <c r="CL42" s="612"/>
      <c r="CM42" s="612"/>
      <c r="CN42" s="612"/>
      <c r="CO42" s="612"/>
      <c r="CP42" s="612"/>
      <c r="CQ42" s="612"/>
      <c r="CR42" s="612"/>
      <c r="CS42" s="612"/>
      <c r="CT42" s="612"/>
      <c r="CU42" s="612"/>
      <c r="CV42" s="612"/>
      <c r="CW42" s="612"/>
      <c r="CX42" s="612"/>
      <c r="CY42" s="612"/>
      <c r="CZ42" s="612"/>
      <c r="DA42" s="612"/>
      <c r="DB42" s="612"/>
      <c r="DC42" s="612"/>
      <c r="DD42" s="612"/>
      <c r="DE42" s="612"/>
      <c r="DF42" s="612"/>
      <c r="DG42" s="612"/>
      <c r="DH42" s="612"/>
      <c r="DI42" s="612"/>
      <c r="DJ42" s="612"/>
      <c r="DK42" s="612"/>
      <c r="DL42" s="612"/>
      <c r="DM42" s="612"/>
      <c r="DN42" s="612"/>
      <c r="DO42" s="612"/>
      <c r="DP42" s="612"/>
      <c r="DQ42" s="612"/>
      <c r="DR42" s="612"/>
      <c r="DS42" s="612"/>
      <c r="DT42" s="612"/>
      <c r="DU42" s="612"/>
      <c r="DV42" s="612"/>
      <c r="DW42" s="612"/>
      <c r="DX42" s="612"/>
      <c r="DY42" s="612"/>
      <c r="DZ42" s="612"/>
      <c r="EA42" s="612"/>
      <c r="EB42" s="612"/>
      <c r="EC42" s="612"/>
      <c r="ED42" s="612"/>
      <c r="EE42" s="612"/>
      <c r="EF42" s="612"/>
      <c r="EG42" s="612"/>
      <c r="EH42" s="612"/>
      <c r="EI42" s="612"/>
      <c r="EJ42" s="612"/>
      <c r="EK42" s="612"/>
      <c r="EL42" s="612"/>
      <c r="EM42" s="612"/>
      <c r="EN42" s="612"/>
      <c r="EO42" s="612"/>
      <c r="EP42" s="612"/>
      <c r="EQ42" s="612"/>
      <c r="ER42" s="612"/>
      <c r="ES42" s="612"/>
      <c r="ET42" s="612"/>
      <c r="EU42" s="612"/>
      <c r="EV42" s="612"/>
      <c r="EW42" s="612"/>
      <c r="EX42" s="612"/>
      <c r="EY42" s="612"/>
      <c r="EZ42" s="612"/>
      <c r="FA42" s="612"/>
      <c r="FB42" s="612"/>
      <c r="FC42" s="612"/>
      <c r="FD42" s="612"/>
      <c r="FE42" s="612"/>
      <c r="FF42" s="612"/>
      <c r="FG42" s="612"/>
      <c r="FH42" s="612"/>
      <c r="FI42" s="612"/>
      <c r="FJ42" s="612"/>
      <c r="FK42" s="612"/>
      <c r="FL42" s="612"/>
      <c r="FM42" s="612"/>
      <c r="FN42" s="612"/>
      <c r="FO42" s="612"/>
      <c r="FP42" s="612"/>
      <c r="FQ42" s="612"/>
      <c r="FR42" s="612"/>
      <c r="FS42" s="612"/>
      <c r="FT42" s="612"/>
      <c r="FU42" s="612"/>
      <c r="FV42" s="612"/>
      <c r="FW42" s="612"/>
      <c r="FX42" s="612"/>
      <c r="FY42" s="612"/>
      <c r="FZ42" s="612"/>
      <c r="GA42" s="612"/>
      <c r="GB42" s="612"/>
      <c r="GC42" s="612"/>
      <c r="GD42" s="612"/>
      <c r="GE42" s="612"/>
      <c r="GF42" s="612"/>
      <c r="GG42" s="612"/>
      <c r="GH42" s="612"/>
      <c r="GI42" s="612"/>
      <c r="GJ42" s="612"/>
      <c r="GK42" s="612"/>
      <c r="GL42" s="612"/>
      <c r="GM42" s="612"/>
      <c r="GN42" s="612"/>
      <c r="GO42" s="612"/>
      <c r="GP42" s="612"/>
      <c r="GQ42" s="612"/>
      <c r="GR42" s="612"/>
      <c r="GS42" s="612"/>
      <c r="GT42" s="612"/>
      <c r="GU42" s="612"/>
      <c r="GV42" s="612"/>
      <c r="GW42" s="612"/>
      <c r="GX42" s="612"/>
      <c r="GY42" s="612"/>
      <c r="GZ42" s="612"/>
      <c r="HA42" s="612"/>
      <c r="HB42" s="612"/>
      <c r="HC42" s="612"/>
      <c r="HD42" s="612"/>
      <c r="HE42" s="612"/>
      <c r="HF42" s="612"/>
      <c r="HG42" s="612"/>
      <c r="HH42" s="612"/>
      <c r="HI42" s="612"/>
      <c r="HJ42" s="612"/>
      <c r="HK42" s="612"/>
      <c r="HL42" s="612"/>
      <c r="HM42" s="612"/>
      <c r="HN42" s="612"/>
      <c r="HO42" s="612"/>
      <c r="HP42" s="612"/>
      <c r="HQ42" s="612"/>
      <c r="HR42" s="612"/>
      <c r="HS42" s="612"/>
      <c r="HT42" s="612"/>
      <c r="HU42" s="612"/>
      <c r="HV42" s="612"/>
      <c r="HW42" s="612"/>
      <c r="HX42" s="612"/>
      <c r="HY42" s="612"/>
      <c r="HZ42" s="612"/>
      <c r="IA42" s="612"/>
      <c r="IB42" s="612"/>
      <c r="IC42" s="612"/>
      <c r="ID42" s="612"/>
      <c r="IE42" s="612"/>
      <c r="IF42" s="612"/>
      <c r="IG42" s="612"/>
      <c r="IH42" s="612"/>
      <c r="II42" s="612"/>
      <c r="IJ42" s="612"/>
      <c r="IK42" s="612"/>
      <c r="IL42" s="612"/>
      <c r="IM42" s="612"/>
      <c r="IN42" s="612"/>
      <c r="IO42" s="612"/>
      <c r="IP42" s="612"/>
      <c r="IQ42" s="612"/>
      <c r="IR42" s="612"/>
      <c r="IS42" s="612"/>
      <c r="IT42" s="612"/>
      <c r="IU42" s="612"/>
      <c r="IV42" s="612"/>
      <c r="IW42" s="612"/>
    </row>
    <row r="43" customFormat="false" ht="12.75" hidden="false" customHeight="false" outlineLevel="0" collapsed="false">
      <c r="A43" s="631" t="s">
        <v>408</v>
      </c>
      <c r="B43" s="625" t="n">
        <f aca="false">SUM(B41:B42)</f>
        <v>127515.782155181</v>
      </c>
      <c r="C43" s="626"/>
      <c r="D43" s="627" t="n">
        <f aca="false">SUM(D41:D42)</f>
        <v>2851.47496309262</v>
      </c>
      <c r="E43" s="627" t="n">
        <f aca="false">SUM(E41:E42)</f>
        <v>6375.78910775906</v>
      </c>
      <c r="F43" s="627" t="n">
        <f aca="false">SUM(F41:F42)</f>
        <v>6375.78910775906</v>
      </c>
      <c r="G43" s="627" t="n">
        <f aca="false">SUM(G41:G42)</f>
        <v>6375.78910775906</v>
      </c>
      <c r="H43" s="627" t="n">
        <f aca="false">SUM(H41:H42)</f>
        <v>6375.78910775906</v>
      </c>
      <c r="I43" s="627" t="n">
        <f aca="false">SUM(I41:I42)</f>
        <v>6375.78910775906</v>
      </c>
      <c r="J43" s="627" t="n">
        <f aca="false">SUM(J41:J42)</f>
        <v>6375.78910775906</v>
      </c>
      <c r="K43" s="627" t="n">
        <f aca="false">SUM(K41:K42)</f>
        <v>6375.78910775906</v>
      </c>
      <c r="L43" s="627" t="n">
        <f aca="false">SUM(L41:L42)</f>
        <v>6375.78910775906</v>
      </c>
      <c r="M43" s="627" t="n">
        <f aca="false">SUM(M41:M42)</f>
        <v>6375.78910775906</v>
      </c>
      <c r="N43" s="627" t="n">
        <f aca="false">SUM(N41:N42)</f>
        <v>6375.78910775906</v>
      </c>
      <c r="O43" s="627" t="n">
        <f aca="false">SUM(O41:O42)</f>
        <v>6375.78910775906</v>
      </c>
      <c r="P43" s="627" t="n">
        <f aca="false">SUM(P41:P42)</f>
        <v>6375.78910775906</v>
      </c>
      <c r="Q43" s="627" t="n">
        <f aca="false">SUM(Q41:Q42)</f>
        <v>6375.78910775906</v>
      </c>
      <c r="R43" s="627" t="n">
        <f aca="false">SUM(R41:R42)</f>
        <v>6375.78910775906</v>
      </c>
      <c r="S43" s="627" t="n">
        <f aca="false">SUM(S41:S42)</f>
        <v>6375.78910775906</v>
      </c>
      <c r="T43" s="627" t="n">
        <f aca="false">SUM(T41:T42)</f>
        <v>6375.78910775906</v>
      </c>
      <c r="U43" s="627" t="n">
        <f aca="false">SUM(U41:U42)</f>
        <v>6375.78910775906</v>
      </c>
      <c r="V43" s="627" t="n">
        <f aca="false">SUM(V41:V42)</f>
        <v>6375.78910775906</v>
      </c>
      <c r="W43" s="627" t="n">
        <f aca="false">SUM(W41:W42)</f>
        <v>6375.78910775906</v>
      </c>
      <c r="X43" s="627" t="n">
        <f aca="false">SUM(X41:X42)</f>
        <v>6330.78910775906</v>
      </c>
      <c r="Y43" s="627" t="n">
        <f aca="false">SUM(Y41:Y42)</f>
        <v>6330.78910775906</v>
      </c>
      <c r="Z43" s="627" t="n">
        <f aca="false">SUM(Z41:Z42)</f>
        <v>6330.78910775906</v>
      </c>
      <c r="AA43" s="627" t="n">
        <f aca="false">SUM(AA41:AA42)</f>
        <v>6330.78910775906</v>
      </c>
      <c r="AB43" s="627" t="n">
        <f aca="false">SUM(AB41:AB42)</f>
        <v>6330.78910775906</v>
      </c>
      <c r="AC43" s="627" t="n">
        <f aca="false">SUM(AC41:AC42)</f>
        <v>6330.78910775906</v>
      </c>
      <c r="AD43" s="627" t="n">
        <f aca="false">SUM(AD41:AD42)</f>
        <v>6330.78910775906</v>
      </c>
      <c r="AE43" s="627" t="n">
        <f aca="false">SUM(AE41:AE42)</f>
        <v>6330.78910775906</v>
      </c>
      <c r="AF43" s="627" t="n">
        <f aca="false">SUM(AF41:AF42)</f>
        <v>6330.78910775906</v>
      </c>
      <c r="AG43" s="627" t="n">
        <f aca="false">SUM(AG41:AG42)</f>
        <v>6330.78910775906</v>
      </c>
      <c r="AH43" s="627" t="n">
        <f aca="false">SUM(AH41:AH42)</f>
        <v>0</v>
      </c>
      <c r="AI43" s="612"/>
      <c r="AJ43" s="612"/>
      <c r="AK43" s="612"/>
      <c r="AL43" s="612"/>
      <c r="AM43" s="612"/>
      <c r="AN43" s="612"/>
      <c r="AO43" s="612"/>
      <c r="AP43" s="612"/>
      <c r="AQ43" s="612"/>
      <c r="AR43" s="612"/>
      <c r="AS43" s="612"/>
      <c r="AT43" s="612"/>
      <c r="AU43" s="612"/>
      <c r="AV43" s="612"/>
      <c r="AW43" s="612"/>
      <c r="AX43" s="612"/>
      <c r="AY43" s="612"/>
      <c r="AZ43" s="612"/>
      <c r="BA43" s="612"/>
      <c r="BB43" s="612"/>
      <c r="BC43" s="612"/>
      <c r="BD43" s="612"/>
      <c r="BE43" s="612"/>
      <c r="BF43" s="612"/>
      <c r="BG43" s="612"/>
      <c r="BH43" s="612"/>
      <c r="BI43" s="612"/>
      <c r="BJ43" s="612"/>
      <c r="BK43" s="612"/>
      <c r="BL43" s="612"/>
      <c r="BM43" s="612"/>
      <c r="BN43" s="612"/>
      <c r="BO43" s="612"/>
      <c r="BP43" s="612"/>
      <c r="BQ43" s="612"/>
      <c r="BR43" s="612"/>
      <c r="BS43" s="612"/>
      <c r="BT43" s="612"/>
      <c r="BU43" s="612"/>
      <c r="BV43" s="612"/>
      <c r="BW43" s="612"/>
      <c r="BX43" s="612"/>
      <c r="BY43" s="612"/>
      <c r="BZ43" s="612"/>
      <c r="CA43" s="612"/>
      <c r="CB43" s="612"/>
      <c r="CC43" s="612"/>
      <c r="CD43" s="612"/>
      <c r="CE43" s="612"/>
      <c r="CF43" s="612"/>
      <c r="CG43" s="612"/>
      <c r="CH43" s="612"/>
      <c r="CI43" s="612"/>
      <c r="CJ43" s="612"/>
      <c r="CK43" s="612"/>
      <c r="CL43" s="612"/>
      <c r="CM43" s="612"/>
      <c r="CN43" s="612"/>
      <c r="CO43" s="612"/>
      <c r="CP43" s="612"/>
      <c r="CQ43" s="612"/>
      <c r="CR43" s="612"/>
      <c r="CS43" s="612"/>
      <c r="CT43" s="612"/>
      <c r="CU43" s="612"/>
      <c r="CV43" s="612"/>
      <c r="CW43" s="612"/>
      <c r="CX43" s="612"/>
      <c r="CY43" s="612"/>
      <c r="CZ43" s="612"/>
      <c r="DA43" s="612"/>
      <c r="DB43" s="612"/>
      <c r="DC43" s="612"/>
      <c r="DD43" s="612"/>
      <c r="DE43" s="612"/>
      <c r="DF43" s="612"/>
      <c r="DG43" s="612"/>
      <c r="DH43" s="612"/>
      <c r="DI43" s="612"/>
      <c r="DJ43" s="612"/>
      <c r="DK43" s="612"/>
      <c r="DL43" s="612"/>
      <c r="DM43" s="612"/>
      <c r="DN43" s="612"/>
      <c r="DO43" s="612"/>
      <c r="DP43" s="612"/>
      <c r="DQ43" s="612"/>
      <c r="DR43" s="612"/>
      <c r="DS43" s="612"/>
      <c r="DT43" s="612"/>
      <c r="DU43" s="612"/>
      <c r="DV43" s="612"/>
      <c r="DW43" s="612"/>
      <c r="DX43" s="612"/>
      <c r="DY43" s="612"/>
      <c r="DZ43" s="612"/>
      <c r="EA43" s="612"/>
      <c r="EB43" s="612"/>
      <c r="EC43" s="612"/>
      <c r="ED43" s="612"/>
      <c r="EE43" s="612"/>
      <c r="EF43" s="612"/>
      <c r="EG43" s="612"/>
      <c r="EH43" s="612"/>
      <c r="EI43" s="612"/>
      <c r="EJ43" s="612"/>
      <c r="EK43" s="612"/>
      <c r="EL43" s="612"/>
      <c r="EM43" s="612"/>
      <c r="EN43" s="612"/>
      <c r="EO43" s="612"/>
      <c r="EP43" s="612"/>
      <c r="EQ43" s="612"/>
      <c r="ER43" s="612"/>
      <c r="ES43" s="612"/>
      <c r="ET43" s="612"/>
      <c r="EU43" s="612"/>
      <c r="EV43" s="612"/>
      <c r="EW43" s="612"/>
      <c r="EX43" s="612"/>
      <c r="EY43" s="612"/>
      <c r="EZ43" s="612"/>
      <c r="FA43" s="612"/>
      <c r="FB43" s="612"/>
      <c r="FC43" s="612"/>
      <c r="FD43" s="612"/>
      <c r="FE43" s="612"/>
      <c r="FF43" s="612"/>
      <c r="FG43" s="612"/>
      <c r="FH43" s="612"/>
      <c r="FI43" s="612"/>
      <c r="FJ43" s="612"/>
      <c r="FK43" s="612"/>
      <c r="FL43" s="612"/>
      <c r="FM43" s="612"/>
      <c r="FN43" s="612"/>
      <c r="FO43" s="612"/>
      <c r="FP43" s="612"/>
      <c r="FQ43" s="612"/>
      <c r="FR43" s="612"/>
      <c r="FS43" s="612"/>
      <c r="FT43" s="612"/>
      <c r="FU43" s="612"/>
      <c r="FV43" s="612"/>
      <c r="FW43" s="612"/>
      <c r="FX43" s="612"/>
      <c r="FY43" s="612"/>
      <c r="FZ43" s="612"/>
      <c r="GA43" s="612"/>
      <c r="GB43" s="612"/>
      <c r="GC43" s="612"/>
      <c r="GD43" s="612"/>
      <c r="GE43" s="612"/>
      <c r="GF43" s="612"/>
      <c r="GG43" s="612"/>
      <c r="GH43" s="612"/>
      <c r="GI43" s="612"/>
      <c r="GJ43" s="612"/>
      <c r="GK43" s="612"/>
      <c r="GL43" s="612"/>
      <c r="GM43" s="612"/>
      <c r="GN43" s="612"/>
      <c r="GO43" s="612"/>
      <c r="GP43" s="612"/>
      <c r="GQ43" s="612"/>
      <c r="GR43" s="612"/>
      <c r="GS43" s="612"/>
      <c r="GT43" s="612"/>
      <c r="GU43" s="612"/>
      <c r="GV43" s="612"/>
      <c r="GW43" s="612"/>
      <c r="GX43" s="612"/>
      <c r="GY43" s="612"/>
      <c r="GZ43" s="612"/>
      <c r="HA43" s="612"/>
      <c r="HB43" s="612"/>
      <c r="HC43" s="612"/>
      <c r="HD43" s="612"/>
      <c r="HE43" s="612"/>
      <c r="HF43" s="612"/>
      <c r="HG43" s="612"/>
      <c r="HH43" s="612"/>
      <c r="HI43" s="612"/>
      <c r="HJ43" s="612"/>
      <c r="HK43" s="612"/>
      <c r="HL43" s="612"/>
      <c r="HM43" s="612"/>
      <c r="HN43" s="612"/>
      <c r="HO43" s="612"/>
      <c r="HP43" s="612"/>
      <c r="HQ43" s="612"/>
      <c r="HR43" s="612"/>
      <c r="HS43" s="612"/>
      <c r="HT43" s="612"/>
      <c r="HU43" s="612"/>
      <c r="HV43" s="612"/>
      <c r="HW43" s="612"/>
      <c r="HX43" s="612"/>
      <c r="HY43" s="612"/>
      <c r="HZ43" s="612"/>
      <c r="IA43" s="612"/>
      <c r="IB43" s="612"/>
      <c r="IC43" s="612"/>
      <c r="ID43" s="612"/>
      <c r="IE43" s="612"/>
      <c r="IF43" s="612"/>
      <c r="IG43" s="612"/>
      <c r="IH43" s="612"/>
      <c r="II43" s="612"/>
      <c r="IJ43" s="612"/>
      <c r="IK43" s="612"/>
      <c r="IL43" s="612"/>
      <c r="IM43" s="612"/>
      <c r="IN43" s="612"/>
      <c r="IO43" s="612"/>
      <c r="IP43" s="612"/>
      <c r="IQ43" s="612"/>
      <c r="IR43" s="612"/>
      <c r="IS43" s="612"/>
      <c r="IT43" s="612"/>
      <c r="IU43" s="612"/>
      <c r="IV43" s="612"/>
      <c r="IW43" s="612"/>
    </row>
    <row r="44" customFormat="false" ht="12.75" hidden="false" customHeight="false" outlineLevel="0" collapsed="false">
      <c r="A44" s="620"/>
    </row>
    <row r="45" customFormat="false" ht="12.75" hidden="false" customHeight="false" outlineLevel="0" collapsed="false">
      <c r="A45" s="631" t="s">
        <v>414</v>
      </c>
      <c r="B45" s="604" t="n">
        <f aca="false">B43</f>
        <v>127515.782155181</v>
      </c>
      <c r="D45" s="627" t="n">
        <f aca="false">B43-D43</f>
        <v>124664.307192089</v>
      </c>
      <c r="E45" s="627" t="n">
        <f aca="false">D45-E43</f>
        <v>118288.51808433</v>
      </c>
      <c r="F45" s="627" t="n">
        <f aca="false">E45-F43</f>
        <v>111912.728976571</v>
      </c>
      <c r="G45" s="627" t="n">
        <f aca="false">F45-G43</f>
        <v>105536.939868811</v>
      </c>
      <c r="H45" s="627" t="n">
        <f aca="false">G45-H43</f>
        <v>99161.1507610524</v>
      </c>
      <c r="I45" s="627" t="n">
        <f aca="false">H45-I43</f>
        <v>92785.3616532933</v>
      </c>
      <c r="J45" s="627" t="n">
        <f aca="false">I45-J43</f>
        <v>86409.5725455343</v>
      </c>
      <c r="K45" s="627" t="n">
        <f aca="false">J45-K43</f>
        <v>80033.7834377752</v>
      </c>
      <c r="L45" s="627" t="n">
        <f aca="false">K45-L43</f>
        <v>73657.9943300162</v>
      </c>
      <c r="M45" s="627" t="n">
        <f aca="false">L45-M43</f>
        <v>67282.2052222571</v>
      </c>
      <c r="N45" s="627" t="n">
        <f aca="false">M45-N43</f>
        <v>60906.416114498</v>
      </c>
      <c r="O45" s="627" t="n">
        <f aca="false">N45-O43</f>
        <v>54530.627006739</v>
      </c>
      <c r="P45" s="627" t="n">
        <f aca="false">O45-P43</f>
        <v>48154.8378989799</v>
      </c>
      <c r="Q45" s="627" t="n">
        <f aca="false">P45-Q43</f>
        <v>41779.0487912209</v>
      </c>
      <c r="R45" s="627" t="n">
        <f aca="false">Q45-R43</f>
        <v>35403.2596834618</v>
      </c>
      <c r="S45" s="627" t="n">
        <f aca="false">R45-S43</f>
        <v>29027.4705757027</v>
      </c>
      <c r="T45" s="627" t="n">
        <f aca="false">S45-T43</f>
        <v>22651.6814679437</v>
      </c>
      <c r="U45" s="627" t="n">
        <f aca="false">T45-U43</f>
        <v>16275.8923601846</v>
      </c>
      <c r="V45" s="627" t="n">
        <f aca="false">U45-V43</f>
        <v>9900.10325242553</v>
      </c>
      <c r="W45" s="627" t="n">
        <f aca="false">V45-W43</f>
        <v>3524.31414466646</v>
      </c>
      <c r="X45" s="627" t="n">
        <f aca="false">W45-X43</f>
        <v>-2806.4749630926</v>
      </c>
      <c r="Y45" s="627" t="n">
        <f aca="false">X45-Y43</f>
        <v>-9137.26407085166</v>
      </c>
      <c r="Z45" s="627" t="n">
        <f aca="false">Y45-Z43</f>
        <v>-15468.0531786107</v>
      </c>
      <c r="AA45" s="627" t="n">
        <f aca="false">Z45-AA43</f>
        <v>-21798.8422863698</v>
      </c>
      <c r="AB45" s="627" t="n">
        <f aca="false">AA45-AB43</f>
        <v>-28129.6313941289</v>
      </c>
      <c r="AC45" s="627" t="n">
        <f aca="false">AB45-AC43</f>
        <v>-34460.4205018879</v>
      </c>
      <c r="AD45" s="627" t="n">
        <f aca="false">AC45-AD43</f>
        <v>-40791.209609647</v>
      </c>
      <c r="AE45" s="627" t="n">
        <f aca="false">AD45-AE43</f>
        <v>-47121.998717406</v>
      </c>
      <c r="AF45" s="627" t="n">
        <f aca="false">AE45-AF43</f>
        <v>-53452.7878251651</v>
      </c>
      <c r="AG45" s="627" t="n">
        <f aca="false">AF45-AG43</f>
        <v>-59783.5769329242</v>
      </c>
      <c r="AH45" s="627" t="n">
        <f aca="false">AG45-AH43</f>
        <v>-59783.5769329242</v>
      </c>
      <c r="AI45" s="601"/>
      <c r="AJ45" s="601"/>
      <c r="AK45" s="601"/>
      <c r="AL45" s="601"/>
      <c r="AM45" s="601"/>
      <c r="AN45" s="601"/>
      <c r="AO45" s="601"/>
      <c r="AP45" s="601"/>
      <c r="AQ45" s="601"/>
      <c r="AR45" s="601"/>
      <c r="AS45" s="601"/>
      <c r="AT45" s="601"/>
      <c r="AU45" s="601"/>
      <c r="AV45" s="601"/>
      <c r="AW45" s="601"/>
      <c r="AX45" s="601"/>
      <c r="AY45" s="601"/>
      <c r="AZ45" s="601"/>
      <c r="BA45" s="601"/>
      <c r="BB45" s="601"/>
      <c r="BC45" s="601"/>
      <c r="BD45" s="601"/>
      <c r="BE45" s="601"/>
      <c r="BF45" s="601"/>
      <c r="BG45" s="601"/>
      <c r="BH45" s="601"/>
      <c r="BI45" s="601"/>
      <c r="BJ45" s="601"/>
      <c r="BK45" s="601"/>
      <c r="BL45" s="601"/>
      <c r="BM45" s="601"/>
      <c r="BN45" s="601"/>
      <c r="BO45" s="601"/>
      <c r="BP45" s="601"/>
      <c r="BQ45" s="601"/>
      <c r="BR45" s="601"/>
      <c r="BS45" s="601"/>
      <c r="BT45" s="601"/>
      <c r="BU45" s="601"/>
      <c r="BV45" s="601"/>
      <c r="BW45" s="601"/>
      <c r="BX45" s="601"/>
      <c r="BY45" s="601"/>
      <c r="BZ45" s="601"/>
      <c r="CA45" s="601"/>
      <c r="CB45" s="601"/>
      <c r="CC45" s="601"/>
      <c r="CD45" s="601"/>
      <c r="CE45" s="601"/>
      <c r="CF45" s="601"/>
      <c r="CG45" s="601"/>
      <c r="CH45" s="601"/>
      <c r="CI45" s="601"/>
      <c r="CJ45" s="601"/>
      <c r="CK45" s="601"/>
      <c r="CL45" s="601"/>
      <c r="CM45" s="601"/>
      <c r="CN45" s="601"/>
      <c r="CO45" s="601"/>
      <c r="CP45" s="601"/>
      <c r="CQ45" s="601"/>
      <c r="CR45" s="601"/>
      <c r="CS45" s="601"/>
      <c r="CT45" s="601"/>
      <c r="CU45" s="601"/>
      <c r="CV45" s="601"/>
      <c r="CW45" s="601"/>
      <c r="CX45" s="601"/>
      <c r="CY45" s="601"/>
      <c r="CZ45" s="601"/>
      <c r="DA45" s="601"/>
      <c r="DB45" s="601"/>
      <c r="DC45" s="601"/>
      <c r="DD45" s="601"/>
      <c r="DE45" s="601"/>
      <c r="DF45" s="601"/>
      <c r="DG45" s="601"/>
      <c r="DH45" s="601"/>
      <c r="DI45" s="601"/>
      <c r="DJ45" s="601"/>
      <c r="DK45" s="601"/>
      <c r="DL45" s="601"/>
      <c r="DM45" s="601"/>
      <c r="DN45" s="601"/>
      <c r="DO45" s="601"/>
      <c r="DP45" s="601"/>
      <c r="DQ45" s="601"/>
      <c r="DR45" s="601"/>
      <c r="DS45" s="601"/>
      <c r="DT45" s="601"/>
      <c r="DU45" s="601"/>
      <c r="DV45" s="601"/>
      <c r="DW45" s="601"/>
      <c r="DX45" s="601"/>
      <c r="DY45" s="601"/>
      <c r="DZ45" s="601"/>
      <c r="EA45" s="601"/>
      <c r="EB45" s="601"/>
      <c r="EC45" s="601"/>
      <c r="ED45" s="601"/>
      <c r="EE45" s="601"/>
      <c r="EF45" s="601"/>
      <c r="EG45" s="601"/>
      <c r="EH45" s="601"/>
      <c r="EI45" s="601"/>
      <c r="EJ45" s="601"/>
      <c r="EK45" s="601"/>
      <c r="EL45" s="601"/>
      <c r="EM45" s="601"/>
      <c r="EN45" s="601"/>
      <c r="EO45" s="601"/>
      <c r="EP45" s="601"/>
      <c r="EQ45" s="601"/>
      <c r="ER45" s="601"/>
      <c r="ES45" s="601"/>
      <c r="ET45" s="601"/>
      <c r="EU45" s="601"/>
      <c r="EV45" s="601"/>
      <c r="EW45" s="601"/>
      <c r="EX45" s="601"/>
      <c r="EY45" s="601"/>
      <c r="EZ45" s="601"/>
      <c r="FA45" s="601"/>
      <c r="FB45" s="601"/>
      <c r="FC45" s="601"/>
      <c r="FD45" s="601"/>
      <c r="FE45" s="601"/>
      <c r="FF45" s="601"/>
      <c r="FG45" s="601"/>
      <c r="FH45" s="601"/>
      <c r="FI45" s="601"/>
      <c r="FJ45" s="601"/>
      <c r="FK45" s="601"/>
      <c r="FL45" s="601"/>
      <c r="FM45" s="601"/>
      <c r="FN45" s="601"/>
      <c r="FO45" s="601"/>
      <c r="FP45" s="601"/>
      <c r="FQ45" s="601"/>
      <c r="FR45" s="601"/>
      <c r="FS45" s="601"/>
      <c r="FT45" s="601"/>
      <c r="FU45" s="601"/>
      <c r="FV45" s="601"/>
      <c r="FW45" s="601"/>
      <c r="FX45" s="601"/>
      <c r="FY45" s="601"/>
      <c r="FZ45" s="601"/>
      <c r="GA45" s="601"/>
      <c r="GB45" s="601"/>
      <c r="GC45" s="601"/>
      <c r="GD45" s="601"/>
      <c r="GE45" s="601"/>
      <c r="GF45" s="601"/>
      <c r="GG45" s="601"/>
      <c r="GH45" s="601"/>
      <c r="GI45" s="601"/>
      <c r="GJ45" s="601"/>
      <c r="GK45" s="601"/>
      <c r="GL45" s="601"/>
      <c r="GM45" s="601"/>
      <c r="GN45" s="601"/>
      <c r="GO45" s="601"/>
      <c r="GP45" s="601"/>
      <c r="GQ45" s="601"/>
      <c r="GR45" s="601"/>
      <c r="GS45" s="601"/>
      <c r="GT45" s="601"/>
      <c r="GU45" s="601"/>
      <c r="GV45" s="601"/>
      <c r="GW45" s="601"/>
      <c r="GX45" s="601"/>
      <c r="GY45" s="601"/>
      <c r="GZ45" s="601"/>
      <c r="HA45" s="601"/>
      <c r="HB45" s="601"/>
      <c r="HC45" s="601"/>
      <c r="HD45" s="601"/>
      <c r="HE45" s="601"/>
      <c r="HF45" s="601"/>
      <c r="HG45" s="601"/>
      <c r="HH45" s="601"/>
      <c r="HI45" s="601"/>
      <c r="HJ45" s="601"/>
      <c r="HK45" s="601"/>
      <c r="HL45" s="601"/>
      <c r="HM45" s="601"/>
      <c r="HN45" s="601"/>
      <c r="HO45" s="601"/>
      <c r="HP45" s="601"/>
      <c r="HQ45" s="601"/>
      <c r="HR45" s="601"/>
      <c r="HS45" s="601"/>
      <c r="HT45" s="601"/>
      <c r="HU45" s="601"/>
      <c r="HV45" s="601"/>
      <c r="HW45" s="601"/>
      <c r="HX45" s="601"/>
      <c r="HY45" s="601"/>
      <c r="HZ45" s="601"/>
      <c r="IA45" s="601"/>
      <c r="IB45" s="601"/>
      <c r="IC45" s="601"/>
      <c r="ID45" s="601"/>
      <c r="IE45" s="601"/>
      <c r="IF45" s="601"/>
      <c r="IG45" s="601"/>
      <c r="IH45" s="601"/>
      <c r="II45" s="601"/>
      <c r="IJ45" s="601"/>
      <c r="IK45" s="601"/>
      <c r="IL45" s="601"/>
      <c r="IM45" s="601"/>
      <c r="IN45" s="601"/>
      <c r="IO45" s="601"/>
      <c r="IP45" s="601"/>
      <c r="IQ45" s="601"/>
      <c r="IR45" s="601"/>
      <c r="IS45" s="601"/>
      <c r="IT45" s="601"/>
      <c r="IU45" s="601"/>
      <c r="IV45" s="601"/>
      <c r="IW45" s="60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37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&amp;L&amp;T, &amp;D&amp;C&amp;F&amp;R&amp;P 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AF51"/>
  <sheetViews>
    <sheetView showFormulas="false" showGridLines="false" showRowColHeaders="true" showZeros="true" rightToLeft="false" tabSelected="false" showOutlineSymbols="true" defaultGridColor="true" view="normal" topLeftCell="A10" colorId="64" zoomScale="75" zoomScaleNormal="75" zoomScalePageLayoutView="100" workbookViewId="0">
      <selection pane="topLeft" activeCell="F26" activeCellId="0" sqref="F26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51.7"/>
    <col collapsed="false" customWidth="true" hidden="false" outlineLevel="0" max="32" min="2" style="321" width="12.56"/>
    <col collapsed="false" customWidth="false" hidden="false" outlineLevel="0" max="257" min="33" style="114" width="9.14"/>
  </cols>
  <sheetData>
    <row r="2" customFormat="false" ht="18.75" hidden="false" customHeight="false" outlineLevel="0" collapsed="false">
      <c r="A2" s="6" t="str">
        <f aca="false">Assumptions!B3</f>
        <v>PROJECT NAME: SANTEE COOPER</v>
      </c>
    </row>
    <row r="4" customFormat="false" ht="18.75" hidden="false" customHeight="false" outlineLevel="0" collapsed="false">
      <c r="A4" s="639" t="s">
        <v>415</v>
      </c>
      <c r="B4" s="640"/>
      <c r="C4" s="637"/>
      <c r="D4" s="637"/>
      <c r="E4" s="637"/>
      <c r="F4" s="637"/>
      <c r="G4" s="637"/>
      <c r="H4" s="637"/>
      <c r="I4" s="637"/>
      <c r="J4" s="637"/>
      <c r="K4" s="637"/>
      <c r="L4" s="637"/>
      <c r="M4" s="637"/>
      <c r="N4" s="637"/>
      <c r="O4" s="637"/>
      <c r="P4" s="637"/>
      <c r="Q4" s="637"/>
      <c r="R4" s="637"/>
      <c r="S4" s="637"/>
      <c r="T4" s="637"/>
      <c r="U4" s="637"/>
      <c r="V4" s="637"/>
      <c r="W4" s="637"/>
      <c r="X4" s="637"/>
      <c r="Y4" s="637"/>
      <c r="Z4" s="637"/>
      <c r="AA4" s="637"/>
      <c r="AB4" s="637"/>
      <c r="AC4" s="637"/>
      <c r="AD4" s="637"/>
      <c r="AE4" s="637"/>
      <c r="AF4" s="637"/>
    </row>
    <row r="5" customFormat="false" ht="12.75" hidden="false" customHeight="false" outlineLevel="0" collapsed="false">
      <c r="A5" s="641"/>
      <c r="B5" s="642"/>
      <c r="C5" s="636"/>
      <c r="D5" s="636"/>
      <c r="E5" s="636"/>
      <c r="F5" s="636"/>
      <c r="G5" s="636"/>
      <c r="H5" s="636"/>
      <c r="I5" s="636"/>
      <c r="J5" s="636"/>
      <c r="K5" s="636"/>
      <c r="L5" s="636"/>
      <c r="M5" s="636"/>
      <c r="N5" s="636"/>
      <c r="O5" s="636"/>
      <c r="P5" s="636"/>
      <c r="Q5" s="636"/>
      <c r="R5" s="636"/>
      <c r="S5" s="636"/>
      <c r="T5" s="636"/>
      <c r="U5" s="636"/>
      <c r="V5" s="636"/>
      <c r="W5" s="636"/>
      <c r="X5" s="636"/>
      <c r="Y5" s="636"/>
      <c r="Z5" s="636"/>
      <c r="AA5" s="636"/>
      <c r="AB5" s="636"/>
      <c r="AC5" s="636"/>
      <c r="AD5" s="636"/>
      <c r="AE5" s="636"/>
      <c r="AF5" s="636"/>
    </row>
    <row r="6" customFormat="false" ht="12.75" hidden="false" customHeight="false" outlineLevel="0" collapsed="false">
      <c r="A6" s="397"/>
      <c r="B6" s="643" t="n">
        <f aca="false">'Power Price Assumption'!F9</f>
        <v>0.668493150684932</v>
      </c>
      <c r="C6" s="643" t="n">
        <f aca="false">'Power Price Assumption'!G9</f>
        <v>1.66849315068493</v>
      </c>
      <c r="D6" s="643" t="n">
        <f aca="false">'Power Price Assumption'!H9</f>
        <v>2.66849315068493</v>
      </c>
      <c r="E6" s="643" t="n">
        <f aca="false">'Power Price Assumption'!I9</f>
        <v>3.66849315068493</v>
      </c>
      <c r="F6" s="643" t="n">
        <f aca="false">'Power Price Assumption'!J9</f>
        <v>4.66849315068493</v>
      </c>
      <c r="G6" s="643" t="n">
        <f aca="false">'Power Price Assumption'!K9</f>
        <v>5.66849315068493</v>
      </c>
      <c r="H6" s="643" t="n">
        <f aca="false">'Power Price Assumption'!L9</f>
        <v>6.66849315068493</v>
      </c>
      <c r="I6" s="643" t="n">
        <f aca="false">'Power Price Assumption'!M9</f>
        <v>7.66849315068493</v>
      </c>
      <c r="J6" s="643" t="n">
        <f aca="false">'Power Price Assumption'!N9</f>
        <v>8.66849315068493</v>
      </c>
      <c r="K6" s="643" t="n">
        <f aca="false">'Power Price Assumption'!O9</f>
        <v>9.66849315068493</v>
      </c>
      <c r="L6" s="643" t="n">
        <f aca="false">'Power Price Assumption'!P9</f>
        <v>10.6684931506849</v>
      </c>
      <c r="M6" s="643" t="n">
        <f aca="false">'Power Price Assumption'!Q9</f>
        <v>11.6684931506849</v>
      </c>
      <c r="N6" s="643" t="n">
        <f aca="false">'Power Price Assumption'!R9</f>
        <v>12.6684931506849</v>
      </c>
      <c r="O6" s="643" t="n">
        <f aca="false">'Power Price Assumption'!S9</f>
        <v>13.6684931506849</v>
      </c>
      <c r="P6" s="643" t="n">
        <f aca="false">'Power Price Assumption'!T9</f>
        <v>14.6684931506849</v>
      </c>
      <c r="Q6" s="643" t="n">
        <f aca="false">'Power Price Assumption'!U9</f>
        <v>15.6684931506849</v>
      </c>
      <c r="R6" s="643" t="n">
        <f aca="false">'Power Price Assumption'!V9</f>
        <v>16.6684931506849</v>
      </c>
      <c r="S6" s="643" t="n">
        <f aca="false">'Power Price Assumption'!W9</f>
        <v>17.6684931506849</v>
      </c>
      <c r="T6" s="643" t="n">
        <f aca="false">'Power Price Assumption'!X9</f>
        <v>18.6684931506849</v>
      </c>
      <c r="U6" s="643" t="n">
        <f aca="false">'Power Price Assumption'!Y9</f>
        <v>19.6684931506849</v>
      </c>
      <c r="V6" s="643" t="n">
        <f aca="false">'Power Price Assumption'!Z9</f>
        <v>20.6684931506849</v>
      </c>
      <c r="W6" s="643" t="n">
        <f aca="false">'Power Price Assumption'!AA9</f>
        <v>21.6684931506849</v>
      </c>
      <c r="X6" s="643" t="n">
        <f aca="false">'Power Price Assumption'!AB9</f>
        <v>22.6684931506849</v>
      </c>
      <c r="Y6" s="643" t="n">
        <f aca="false">'Power Price Assumption'!AC9</f>
        <v>23.6684931506849</v>
      </c>
      <c r="Z6" s="643" t="n">
        <f aca="false">'Power Price Assumption'!AD9</f>
        <v>24.6684931506849</v>
      </c>
      <c r="AA6" s="643" t="n">
        <f aca="false">'Power Price Assumption'!AE9</f>
        <v>25.6684931506849</v>
      </c>
      <c r="AB6" s="643" t="n">
        <f aca="false">'Power Price Assumption'!AF9</f>
        <v>26.6684931506849</v>
      </c>
      <c r="AC6" s="643" t="n">
        <f aca="false">'Power Price Assumption'!AG9</f>
        <v>27.6684931506849</v>
      </c>
      <c r="AD6" s="643" t="n">
        <f aca="false">'Power Price Assumption'!AH9</f>
        <v>28.6684931506849</v>
      </c>
      <c r="AE6" s="643" t="n">
        <f aca="false">'Power Price Assumption'!AI9</f>
        <v>29.6684931506849</v>
      </c>
      <c r="AF6" s="643" t="n">
        <f aca="false">'Power Price Assumption'!AJ9</f>
        <v>30.6684931506849</v>
      </c>
    </row>
    <row r="7" customFormat="false" ht="13.5" hidden="false" customHeight="false" outlineLevel="0" collapsed="false">
      <c r="A7" s="326" t="s">
        <v>247</v>
      </c>
      <c r="B7" s="328" t="n">
        <f aca="false">'Power Price Assumption'!F10</f>
        <v>2001</v>
      </c>
      <c r="C7" s="328" t="n">
        <f aca="false">'Power Price Assumption'!G10</f>
        <v>2002</v>
      </c>
      <c r="D7" s="328" t="n">
        <f aca="false">'Power Price Assumption'!H10</f>
        <v>2003</v>
      </c>
      <c r="E7" s="328" t="n">
        <f aca="false">'Power Price Assumption'!I10</f>
        <v>2004</v>
      </c>
      <c r="F7" s="328" t="n">
        <f aca="false">'Power Price Assumption'!J10</f>
        <v>2005</v>
      </c>
      <c r="G7" s="328" t="n">
        <f aca="false">'Power Price Assumption'!K10</f>
        <v>2006</v>
      </c>
      <c r="H7" s="328" t="n">
        <f aca="false">'Power Price Assumption'!L10</f>
        <v>2007</v>
      </c>
      <c r="I7" s="328" t="n">
        <f aca="false">'Power Price Assumption'!M10</f>
        <v>2008</v>
      </c>
      <c r="J7" s="328" t="n">
        <f aca="false">'Power Price Assumption'!N10</f>
        <v>2009</v>
      </c>
      <c r="K7" s="328" t="n">
        <f aca="false">'Power Price Assumption'!O10</f>
        <v>2010</v>
      </c>
      <c r="L7" s="328" t="n">
        <f aca="false">'Power Price Assumption'!P10</f>
        <v>2011</v>
      </c>
      <c r="M7" s="328" t="n">
        <f aca="false">'Power Price Assumption'!Q10</f>
        <v>2012</v>
      </c>
      <c r="N7" s="328" t="n">
        <f aca="false">'Power Price Assumption'!R10</f>
        <v>2013</v>
      </c>
      <c r="O7" s="328" t="n">
        <f aca="false">'Power Price Assumption'!S10</f>
        <v>2014</v>
      </c>
      <c r="P7" s="328" t="n">
        <f aca="false">'Power Price Assumption'!T10</f>
        <v>2015</v>
      </c>
      <c r="Q7" s="328" t="n">
        <f aca="false">'Power Price Assumption'!U10</f>
        <v>2016</v>
      </c>
      <c r="R7" s="328" t="n">
        <f aca="false">'Power Price Assumption'!V10</f>
        <v>2017</v>
      </c>
      <c r="S7" s="328" t="n">
        <f aca="false">'Power Price Assumption'!W10</f>
        <v>2018</v>
      </c>
      <c r="T7" s="328" t="n">
        <f aca="false">'Power Price Assumption'!X10</f>
        <v>2019</v>
      </c>
      <c r="U7" s="328" t="n">
        <f aca="false">'Power Price Assumption'!Y10</f>
        <v>2020</v>
      </c>
      <c r="V7" s="328" t="n">
        <f aca="false">'Power Price Assumption'!Z10</f>
        <v>2021</v>
      </c>
      <c r="W7" s="328" t="n">
        <f aca="false">'Power Price Assumption'!AA10</f>
        <v>2022</v>
      </c>
      <c r="X7" s="328" t="n">
        <f aca="false">'Power Price Assumption'!AB10</f>
        <v>2023</v>
      </c>
      <c r="Y7" s="328" t="n">
        <f aca="false">'Power Price Assumption'!AC10</f>
        <v>2024</v>
      </c>
      <c r="Z7" s="328" t="n">
        <f aca="false">'Power Price Assumption'!AD10</f>
        <v>2025</v>
      </c>
      <c r="AA7" s="328" t="n">
        <f aca="false">'Power Price Assumption'!AE10</f>
        <v>2026</v>
      </c>
      <c r="AB7" s="328" t="n">
        <f aca="false">'Power Price Assumption'!AF10</f>
        <v>2027</v>
      </c>
      <c r="AC7" s="328" t="n">
        <f aca="false">'Power Price Assumption'!AG10</f>
        <v>2028</v>
      </c>
      <c r="AD7" s="328" t="n">
        <f aca="false">'Power Price Assumption'!AH10</f>
        <v>2029</v>
      </c>
      <c r="AE7" s="328" t="n">
        <f aca="false">'Power Price Assumption'!AI10</f>
        <v>2030</v>
      </c>
      <c r="AF7" s="328" t="n">
        <f aca="false">'Power Price Assumption'!AJ10</f>
        <v>2031</v>
      </c>
    </row>
    <row r="8" customFormat="false" ht="12.75" hidden="false" customHeight="false" outlineLevel="0" collapsed="false">
      <c r="A8" s="397"/>
      <c r="B8" s="603" t="n">
        <f aca="false">Depreciation!D8</f>
        <v>0</v>
      </c>
      <c r="C8" s="603" t="n">
        <f aca="false">Depreciation!E8</f>
        <v>0</v>
      </c>
      <c r="D8" s="603" t="n">
        <f aca="false">Depreciation!F8</f>
        <v>0</v>
      </c>
      <c r="E8" s="603" t="n">
        <f aca="false">Depreciation!G8</f>
        <v>0</v>
      </c>
      <c r="F8" s="603" t="n">
        <f aca="false">Depreciation!H8</f>
        <v>0</v>
      </c>
      <c r="G8" s="603" t="n">
        <f aca="false">Depreciation!I8</f>
        <v>0</v>
      </c>
      <c r="H8" s="603" t="n">
        <f aca="false">Depreciation!J8</f>
        <v>0</v>
      </c>
      <c r="I8" s="603" t="n">
        <f aca="false">Depreciation!K8</f>
        <v>0</v>
      </c>
      <c r="J8" s="603" t="n">
        <f aca="false">Depreciation!L8</f>
        <v>0</v>
      </c>
      <c r="K8" s="603" t="n">
        <f aca="false">Depreciation!M8</f>
        <v>0</v>
      </c>
      <c r="L8" s="603" t="n">
        <f aca="false">Depreciation!N8</f>
        <v>0</v>
      </c>
      <c r="M8" s="603" t="n">
        <f aca="false">Depreciation!O8</f>
        <v>0</v>
      </c>
      <c r="N8" s="603" t="n">
        <f aca="false">Depreciation!P8</f>
        <v>0</v>
      </c>
      <c r="O8" s="603" t="n">
        <f aca="false">Depreciation!Q8</f>
        <v>0</v>
      </c>
      <c r="P8" s="603" t="n">
        <f aca="false">Depreciation!R8</f>
        <v>0</v>
      </c>
      <c r="Q8" s="603" t="n">
        <f aca="false">Depreciation!S8</f>
        <v>0</v>
      </c>
      <c r="R8" s="603" t="n">
        <f aca="false">Depreciation!T8</f>
        <v>0</v>
      </c>
      <c r="S8" s="603" t="n">
        <f aca="false">Depreciation!U8</f>
        <v>0</v>
      </c>
      <c r="T8" s="603" t="n">
        <f aca="false">Depreciation!V8</f>
        <v>0</v>
      </c>
      <c r="U8" s="603" t="n">
        <f aca="false">Depreciation!W8</f>
        <v>0</v>
      </c>
      <c r="V8" s="603" t="n">
        <f aca="false">Depreciation!X8</f>
        <v>0</v>
      </c>
      <c r="W8" s="603" t="n">
        <f aca="false">Depreciation!Y8</f>
        <v>0</v>
      </c>
      <c r="X8" s="603" t="n">
        <f aca="false">Depreciation!Z8</f>
        <v>0</v>
      </c>
      <c r="Y8" s="603" t="n">
        <f aca="false">Depreciation!AA8</f>
        <v>0</v>
      </c>
      <c r="Z8" s="603" t="n">
        <f aca="false">Depreciation!AB8</f>
        <v>0</v>
      </c>
      <c r="AA8" s="603" t="n">
        <f aca="false">Depreciation!AC8</f>
        <v>0</v>
      </c>
      <c r="AB8" s="603" t="n">
        <f aca="false">Depreciation!AD8</f>
        <v>0</v>
      </c>
      <c r="AC8" s="603" t="n">
        <f aca="false">Depreciation!AE8</f>
        <v>0</v>
      </c>
      <c r="AD8" s="603" t="n">
        <f aca="false">Depreciation!AF8</f>
        <v>0</v>
      </c>
      <c r="AE8" s="603" t="n">
        <f aca="false">Depreciation!AG8</f>
        <v>0</v>
      </c>
      <c r="AF8" s="603" t="n">
        <f aca="false">Depreciation!AH8</f>
        <v>0</v>
      </c>
    </row>
    <row r="9" customFormat="false" ht="12.75" hidden="false" customHeight="false" outlineLevel="0" collapsed="false">
      <c r="A9" s="644" t="s">
        <v>416</v>
      </c>
      <c r="B9" s="606"/>
      <c r="C9" s="606"/>
      <c r="D9" s="606"/>
      <c r="E9" s="606"/>
      <c r="F9" s="606"/>
      <c r="G9" s="606"/>
      <c r="H9" s="606"/>
      <c r="I9" s="606"/>
      <c r="J9" s="606"/>
      <c r="K9" s="606"/>
      <c r="L9" s="606"/>
      <c r="M9" s="606"/>
      <c r="N9" s="606"/>
      <c r="O9" s="606"/>
      <c r="P9" s="606"/>
      <c r="Q9" s="606"/>
      <c r="R9" s="606"/>
      <c r="S9" s="606"/>
      <c r="T9" s="606"/>
      <c r="U9" s="606"/>
      <c r="V9" s="606"/>
      <c r="W9" s="606"/>
      <c r="X9" s="606"/>
      <c r="Y9" s="606"/>
      <c r="Z9" s="606"/>
      <c r="AA9" s="606"/>
      <c r="AB9" s="606"/>
      <c r="AC9" s="606"/>
      <c r="AD9" s="606"/>
      <c r="AE9" s="606"/>
      <c r="AF9" s="606"/>
    </row>
    <row r="10" customFormat="false" ht="12.75" hidden="false" customHeight="false" outlineLevel="0" collapsed="false">
      <c r="A10" s="644"/>
      <c r="B10" s="606"/>
      <c r="C10" s="606"/>
      <c r="D10" s="606"/>
      <c r="E10" s="606"/>
      <c r="F10" s="606"/>
      <c r="G10" s="606"/>
      <c r="H10" s="606"/>
      <c r="I10" s="606"/>
      <c r="J10" s="606"/>
      <c r="K10" s="606"/>
      <c r="L10" s="606"/>
      <c r="M10" s="606"/>
      <c r="N10" s="606"/>
      <c r="O10" s="606"/>
      <c r="P10" s="606"/>
      <c r="Q10" s="606"/>
      <c r="R10" s="606"/>
      <c r="S10" s="606"/>
      <c r="T10" s="606"/>
      <c r="U10" s="606"/>
      <c r="V10" s="606"/>
      <c r="W10" s="606"/>
      <c r="X10" s="606"/>
      <c r="Y10" s="606"/>
      <c r="Z10" s="606"/>
      <c r="AA10" s="606"/>
      <c r="AB10" s="606"/>
      <c r="AC10" s="606"/>
      <c r="AD10" s="606"/>
      <c r="AE10" s="606"/>
      <c r="AF10" s="606"/>
    </row>
    <row r="11" customFormat="false" ht="12.75" hidden="false" customHeight="false" outlineLevel="0" collapsed="false">
      <c r="A11" s="644"/>
      <c r="B11" s="334"/>
      <c r="C11" s="334"/>
      <c r="D11" s="334"/>
      <c r="E11" s="334"/>
      <c r="F11" s="334"/>
      <c r="G11" s="334"/>
      <c r="H11" s="334"/>
      <c r="I11" s="334"/>
      <c r="J11" s="334"/>
      <c r="K11" s="334"/>
      <c r="L11" s="334"/>
      <c r="M11" s="334"/>
      <c r="N11" s="334"/>
      <c r="O11" s="334"/>
      <c r="P11" s="334"/>
      <c r="Q11" s="334"/>
      <c r="R11" s="334"/>
      <c r="S11" s="334"/>
      <c r="T11" s="334"/>
      <c r="U11" s="334"/>
      <c r="V11" s="334"/>
      <c r="W11" s="334"/>
      <c r="X11" s="334"/>
      <c r="Y11" s="334"/>
      <c r="Z11" s="334"/>
      <c r="AA11" s="334"/>
      <c r="AB11" s="334"/>
      <c r="AC11" s="334"/>
      <c r="AD11" s="334"/>
      <c r="AE11" s="334"/>
      <c r="AF11" s="334"/>
    </row>
    <row r="12" customFormat="false" ht="13.5" hidden="false" customHeight="false" outlineLevel="0" collapsed="false">
      <c r="A12" s="645" t="s">
        <v>417</v>
      </c>
      <c r="B12" s="334"/>
      <c r="C12" s="334"/>
      <c r="D12" s="334"/>
      <c r="E12" s="334"/>
      <c r="F12" s="334"/>
      <c r="G12" s="334"/>
      <c r="H12" s="334"/>
      <c r="I12" s="334"/>
      <c r="J12" s="334"/>
      <c r="K12" s="334"/>
      <c r="L12" s="334"/>
      <c r="M12" s="334"/>
      <c r="N12" s="334"/>
      <c r="O12" s="334"/>
      <c r="P12" s="334"/>
      <c r="Q12" s="334"/>
      <c r="R12" s="334"/>
      <c r="S12" s="334"/>
      <c r="T12" s="334"/>
      <c r="U12" s="334"/>
      <c r="V12" s="334"/>
      <c r="W12" s="334"/>
      <c r="X12" s="334"/>
      <c r="Y12" s="334"/>
      <c r="Z12" s="334"/>
      <c r="AA12" s="334"/>
      <c r="AB12" s="334"/>
      <c r="AC12" s="334"/>
      <c r="AD12" s="334"/>
      <c r="AE12" s="334"/>
      <c r="AF12" s="334"/>
    </row>
    <row r="13" customFormat="false" ht="12.75" hidden="false" customHeight="false" outlineLevel="0" collapsed="false">
      <c r="A13" s="616" t="s">
        <v>418</v>
      </c>
      <c r="B13" s="334" t="n">
        <f aca="false">IS!D80</f>
        <v>2265.54277176038</v>
      </c>
      <c r="C13" s="334" t="n">
        <f aca="false">IS!E80</f>
        <v>-1698.92497025119</v>
      </c>
      <c r="D13" s="334" t="n">
        <f aca="false">IS!F80</f>
        <v>-1507.60932253415</v>
      </c>
      <c r="E13" s="334" t="n">
        <f aca="false">IS!G80</f>
        <v>-1301.020425803</v>
      </c>
      <c r="F13" s="334" t="n">
        <f aca="false">IS!H80</f>
        <v>-1077.93897500754</v>
      </c>
      <c r="G13" s="334" t="n">
        <f aca="false">IS!I80</f>
        <v>-837.048324655828</v>
      </c>
      <c r="H13" s="334" t="n">
        <f aca="false">IS!J80</f>
        <v>-576.926717861742</v>
      </c>
      <c r="I13" s="334" t="n">
        <f aca="false">IS!K80</f>
        <v>-296.038895016209</v>
      </c>
      <c r="J13" s="334" t="n">
        <f aca="false">IS!L80</f>
        <v>7.27296744418072</v>
      </c>
      <c r="K13" s="334" t="n">
        <f aca="false">IS!M80</f>
        <v>334.799041651329</v>
      </c>
      <c r="L13" s="334" t="n">
        <f aca="false">IS!N80</f>
        <v>688.47241405217</v>
      </c>
      <c r="M13" s="334" t="n">
        <f aca="false">IS!O80</f>
        <v>1070.38049464753</v>
      </c>
      <c r="N13" s="334" t="n">
        <f aca="false">IS!P80</f>
        <v>1482.77733706156</v>
      </c>
      <c r="O13" s="334" t="n">
        <f aca="false">IS!Q80</f>
        <v>1928.09694215591</v>
      </c>
      <c r="P13" s="334" t="n">
        <f aca="false">IS!R80</f>
        <v>2408.96762370757</v>
      </c>
      <c r="Q13" s="334" t="n">
        <f aca="false">IS!S80</f>
        <v>2928.22752093792</v>
      </c>
      <c r="R13" s="334" t="n">
        <f aca="false">IS!T80</f>
        <v>3488.94134944925</v>
      </c>
      <c r="S13" s="334" t="n">
        <f aca="false">IS!U80</f>
        <v>4094.41848943403</v>
      </c>
      <c r="T13" s="334" t="n">
        <f aca="false">IS!V80</f>
        <v>4280.26994796146</v>
      </c>
      <c r="U13" s="334" t="n">
        <f aca="false">IS!W80</f>
        <v>4280.26994796146</v>
      </c>
      <c r="V13" s="334" t="n">
        <f aca="false">IS!X80</f>
        <v>4325.26994796146</v>
      </c>
      <c r="W13" s="334" t="n">
        <f aca="false">IS!Y80</f>
        <v>4325.26994796146</v>
      </c>
      <c r="X13" s="334" t="n">
        <f aca="false">IS!Z80</f>
        <v>4325.26994796146</v>
      </c>
      <c r="Y13" s="334" t="n">
        <f aca="false">IS!AA80</f>
        <v>4325.26994796146</v>
      </c>
      <c r="Z13" s="334" t="n">
        <f aca="false">IS!AB80</f>
        <v>4325.26994796146</v>
      </c>
      <c r="AA13" s="334" t="n">
        <f aca="false">IS!AC80</f>
        <v>-8992.34041203854</v>
      </c>
      <c r="AB13" s="334" t="n">
        <f aca="false">IS!AD80</f>
        <v>-8992.34041203854</v>
      </c>
      <c r="AC13" s="334" t="n">
        <f aca="false">IS!AE80</f>
        <v>-8992.34041203854</v>
      </c>
      <c r="AD13" s="334" t="n">
        <f aca="false">IS!AF80</f>
        <v>-8992.34041203854</v>
      </c>
      <c r="AE13" s="334" t="n">
        <f aca="false">IS!AG80</f>
        <v>-8992.34041203854</v>
      </c>
      <c r="AF13" s="334" t="n">
        <f aca="false">IS!AH80</f>
        <v>-2661.55130427948</v>
      </c>
    </row>
    <row r="14" customFormat="false" ht="12.75" hidden="false" customHeight="false" outlineLevel="0" collapsed="false">
      <c r="A14" s="616" t="s">
        <v>419</v>
      </c>
      <c r="B14" s="334" t="n">
        <f aca="false">IS!D74</f>
        <v>2851.47496309262</v>
      </c>
      <c r="C14" s="334" t="n">
        <f aca="false">IS!E74</f>
        <v>6375.78910775906</v>
      </c>
      <c r="D14" s="334" t="n">
        <f aca="false">IS!F74</f>
        <v>6375.78910775906</v>
      </c>
      <c r="E14" s="334" t="n">
        <f aca="false">IS!G74</f>
        <v>6375.78910775906</v>
      </c>
      <c r="F14" s="334" t="n">
        <f aca="false">IS!H74</f>
        <v>6375.78910775906</v>
      </c>
      <c r="G14" s="334" t="n">
        <f aca="false">IS!I74</f>
        <v>6375.78910775906</v>
      </c>
      <c r="H14" s="334" t="n">
        <f aca="false">IS!J74</f>
        <v>6375.78910775906</v>
      </c>
      <c r="I14" s="334" t="n">
        <f aca="false">IS!K74</f>
        <v>6375.78910775906</v>
      </c>
      <c r="J14" s="334" t="n">
        <f aca="false">IS!L74</f>
        <v>6375.78910775906</v>
      </c>
      <c r="K14" s="334" t="n">
        <f aca="false">IS!M74</f>
        <v>6375.78910775906</v>
      </c>
      <c r="L14" s="334" t="n">
        <f aca="false">IS!N74</f>
        <v>6375.78910775906</v>
      </c>
      <c r="M14" s="334" t="n">
        <f aca="false">IS!O74</f>
        <v>6375.78910775906</v>
      </c>
      <c r="N14" s="334" t="n">
        <f aca="false">IS!P74</f>
        <v>6375.78910775906</v>
      </c>
      <c r="O14" s="334" t="n">
        <f aca="false">IS!Q74</f>
        <v>6375.78910775906</v>
      </c>
      <c r="P14" s="334" t="n">
        <f aca="false">IS!R74</f>
        <v>6375.78910775906</v>
      </c>
      <c r="Q14" s="334" t="n">
        <f aca="false">IS!S74</f>
        <v>6375.78910775906</v>
      </c>
      <c r="R14" s="334" t="n">
        <f aca="false">IS!T74</f>
        <v>6375.78910775906</v>
      </c>
      <c r="S14" s="334" t="n">
        <f aca="false">IS!U74</f>
        <v>6375.78910775906</v>
      </c>
      <c r="T14" s="334" t="n">
        <f aca="false">IS!V74</f>
        <v>6375.78910775906</v>
      </c>
      <c r="U14" s="334" t="n">
        <f aca="false">IS!W74</f>
        <v>6375.78910775906</v>
      </c>
      <c r="V14" s="334" t="n">
        <f aca="false">IS!X74</f>
        <v>6330.78910775906</v>
      </c>
      <c r="W14" s="334" t="n">
        <f aca="false">IS!Y74</f>
        <v>6330.78910775906</v>
      </c>
      <c r="X14" s="334" t="n">
        <f aca="false">IS!Z74</f>
        <v>6330.78910775906</v>
      </c>
      <c r="Y14" s="334" t="n">
        <f aca="false">IS!AA74</f>
        <v>6330.78910775906</v>
      </c>
      <c r="Z14" s="334" t="n">
        <f aca="false">IS!AB74</f>
        <v>6330.78910775906</v>
      </c>
      <c r="AA14" s="334" t="n">
        <f aca="false">IS!AC74</f>
        <v>6330.78910775906</v>
      </c>
      <c r="AB14" s="334" t="n">
        <f aca="false">IS!AD74</f>
        <v>6330.78910775906</v>
      </c>
      <c r="AC14" s="334" t="n">
        <f aca="false">IS!AE74</f>
        <v>6330.78910775906</v>
      </c>
      <c r="AD14" s="334" t="n">
        <f aca="false">IS!AF74</f>
        <v>6330.78910775906</v>
      </c>
      <c r="AE14" s="334" t="n">
        <f aca="false">IS!AG74</f>
        <v>6330.78910775906</v>
      </c>
      <c r="AF14" s="334" t="n">
        <f aca="false">IS!AH74</f>
        <v>0</v>
      </c>
    </row>
    <row r="15" customFormat="false" ht="15" hidden="false" customHeight="false" outlineLevel="0" collapsed="false">
      <c r="A15" s="616" t="s">
        <v>420</v>
      </c>
      <c r="B15" s="406" t="n">
        <f aca="false">-Depreciation!D31</f>
        <v>-6360.87129953989</v>
      </c>
      <c r="C15" s="406" t="n">
        <f aca="false">-Depreciation!E31</f>
        <v>-12073.4993047422</v>
      </c>
      <c r="D15" s="406" t="n">
        <f aca="false">-Depreciation!F31</f>
        <v>-10870.649374268</v>
      </c>
      <c r="E15" s="406" t="n">
        <f aca="false">-Depreciation!G31</f>
        <v>-9794.41522594896</v>
      </c>
      <c r="F15" s="406" t="n">
        <f aca="false">-Depreciation!H31</f>
        <v>-8819.47370335406</v>
      </c>
      <c r="G15" s="406" t="n">
        <f aca="false">-Depreciation!I31</f>
        <v>-7933.16322826779</v>
      </c>
      <c r="H15" s="406" t="n">
        <f aca="false">-Depreciation!J31</f>
        <v>-7515.33114715569</v>
      </c>
      <c r="I15" s="406" t="n">
        <f aca="false">-Depreciation!K31</f>
        <v>-7527.99272537121</v>
      </c>
      <c r="J15" s="406" t="n">
        <f aca="false">-Depreciation!L31</f>
        <v>-7515.33114715569</v>
      </c>
      <c r="K15" s="406" t="n">
        <f aca="false">-Depreciation!M31</f>
        <v>-7527.99272537121</v>
      </c>
      <c r="L15" s="406" t="n">
        <f aca="false">-Depreciation!N31</f>
        <v>-7515.33114715569</v>
      </c>
      <c r="M15" s="406" t="n">
        <f aca="false">-Depreciation!O31</f>
        <v>-7527.99272537121</v>
      </c>
      <c r="N15" s="406" t="n">
        <f aca="false">-Depreciation!P31</f>
        <v>-7515.33114715569</v>
      </c>
      <c r="O15" s="406" t="n">
        <f aca="false">-Depreciation!Q31</f>
        <v>-7527.99272537121</v>
      </c>
      <c r="P15" s="406" t="n">
        <f aca="false">-Depreciation!R31</f>
        <v>-7515.33114715569</v>
      </c>
      <c r="Q15" s="406" t="n">
        <f aca="false">-Depreciation!S31</f>
        <v>-3780.16557357785</v>
      </c>
      <c r="R15" s="406" t="n">
        <f aca="false">-Depreciation!T31</f>
        <v>-45</v>
      </c>
      <c r="S15" s="406" t="n">
        <f aca="false">-Depreciation!U31</f>
        <v>-45</v>
      </c>
      <c r="T15" s="406" t="n">
        <f aca="false">-Depreciation!V31</f>
        <v>-45</v>
      </c>
      <c r="U15" s="406" t="n">
        <f aca="false">-Depreciation!W31</f>
        <v>-45</v>
      </c>
      <c r="V15" s="406" t="n">
        <f aca="false">-Depreciation!X31</f>
        <v>-0</v>
      </c>
      <c r="W15" s="406" t="n">
        <f aca="false">-Depreciation!Y31</f>
        <v>-0</v>
      </c>
      <c r="X15" s="406" t="n">
        <f aca="false">-Depreciation!Z31</f>
        <v>-0</v>
      </c>
      <c r="Y15" s="406" t="n">
        <f aca="false">-Depreciation!AA31</f>
        <v>-0</v>
      </c>
      <c r="Z15" s="406" t="n">
        <f aca="false">-Depreciation!AB31</f>
        <v>-0</v>
      </c>
      <c r="AA15" s="406" t="n">
        <f aca="false">-Depreciation!AC31</f>
        <v>-0</v>
      </c>
      <c r="AB15" s="406" t="n">
        <f aca="false">-Depreciation!AD31</f>
        <v>-0</v>
      </c>
      <c r="AC15" s="406" t="n">
        <f aca="false">-Depreciation!AE31</f>
        <v>-0</v>
      </c>
      <c r="AD15" s="406" t="n">
        <f aca="false">-Depreciation!AF31</f>
        <v>-0</v>
      </c>
      <c r="AE15" s="406" t="n">
        <f aca="false">-Depreciation!AG31</f>
        <v>-0</v>
      </c>
      <c r="AF15" s="406" t="n">
        <f aca="false">-Depreciation!AH31</f>
        <v>-0</v>
      </c>
    </row>
    <row r="16" customFormat="false" ht="12.75" hidden="false" customHeight="false" outlineLevel="0" collapsed="false">
      <c r="A16" s="646" t="s">
        <v>421</v>
      </c>
      <c r="B16" s="334" t="n">
        <f aca="false">SUM(B13:B15)</f>
        <v>-1243.85356468688</v>
      </c>
      <c r="C16" s="334" t="n">
        <f aca="false">SUM(C13:C15)</f>
        <v>-7396.63516723435</v>
      </c>
      <c r="D16" s="334" t="n">
        <f aca="false">SUM(D13:D15)</f>
        <v>-6002.46958904308</v>
      </c>
      <c r="E16" s="334" t="n">
        <f aca="false">SUM(E13:E15)</f>
        <v>-4719.6465439929</v>
      </c>
      <c r="F16" s="334" t="n">
        <f aca="false">SUM(F13:F15)</f>
        <v>-3521.62357060254</v>
      </c>
      <c r="G16" s="334" t="n">
        <f aca="false">SUM(G13:G15)</f>
        <v>-2394.42244516456</v>
      </c>
      <c r="H16" s="334" t="n">
        <f aca="false">SUM(H13:H15)</f>
        <v>-1716.46875725837</v>
      </c>
      <c r="I16" s="334" t="n">
        <f aca="false">SUM(I13:I15)</f>
        <v>-1448.24251262836</v>
      </c>
      <c r="J16" s="334" t="n">
        <f aca="false">SUM(J13:J15)</f>
        <v>-1132.26907195245</v>
      </c>
      <c r="K16" s="334" t="n">
        <f aca="false">SUM(K13:K15)</f>
        <v>-817.404575960821</v>
      </c>
      <c r="L16" s="334" t="n">
        <f aca="false">SUM(L13:L15)</f>
        <v>-451.06962534446</v>
      </c>
      <c r="M16" s="334" t="n">
        <f aca="false">SUM(M13:M15)</f>
        <v>-81.8231229646217</v>
      </c>
      <c r="N16" s="334" t="n">
        <f aca="false">SUM(N13:N15)</f>
        <v>343.235297664931</v>
      </c>
      <c r="O16" s="334" t="n">
        <f aca="false">SUM(O13:O15)</f>
        <v>775.893324543761</v>
      </c>
      <c r="P16" s="334" t="n">
        <f aca="false">SUM(P13:P15)</f>
        <v>1269.42558431094</v>
      </c>
      <c r="Q16" s="334" t="n">
        <f aca="false">SUM(Q13:Q15)</f>
        <v>5523.85105511914</v>
      </c>
      <c r="R16" s="334" t="n">
        <f aca="false">SUM(R13:R15)</f>
        <v>9819.73045720831</v>
      </c>
      <c r="S16" s="334" t="n">
        <f aca="false">SUM(S13:S15)</f>
        <v>10425.2075971931</v>
      </c>
      <c r="T16" s="334" t="n">
        <f aca="false">SUM(T13:T15)</f>
        <v>10611.0590557205</v>
      </c>
      <c r="U16" s="334" t="n">
        <f aca="false">SUM(U13:U15)</f>
        <v>10611.0590557205</v>
      </c>
      <c r="V16" s="334" t="n">
        <f aca="false">SUM(V13:V15)</f>
        <v>10656.0590557205</v>
      </c>
      <c r="W16" s="334" t="n">
        <f aca="false">SUM(W13:W15)</f>
        <v>10656.0590557205</v>
      </c>
      <c r="X16" s="334" t="n">
        <f aca="false">SUM(X13:X15)</f>
        <v>10656.0590557205</v>
      </c>
      <c r="Y16" s="334" t="n">
        <f aca="false">SUM(Y13:Y15)</f>
        <v>10656.0590557205</v>
      </c>
      <c r="Z16" s="334" t="n">
        <f aca="false">SUM(Z13:Z15)</f>
        <v>10656.0590557205</v>
      </c>
      <c r="AA16" s="334" t="n">
        <f aca="false">SUM(AA13:AA15)</f>
        <v>-2661.55130427947</v>
      </c>
      <c r="AB16" s="334" t="n">
        <f aca="false">SUM(AB13:AB15)</f>
        <v>-2661.55130427947</v>
      </c>
      <c r="AC16" s="334" t="n">
        <f aca="false">SUM(AC13:AC15)</f>
        <v>-2661.55130427947</v>
      </c>
      <c r="AD16" s="334" t="n">
        <f aca="false">SUM(AD13:AD15)</f>
        <v>-2661.55130427947</v>
      </c>
      <c r="AE16" s="334" t="n">
        <f aca="false">SUM(AE13:AE15)</f>
        <v>-2661.55130427947</v>
      </c>
      <c r="AF16" s="334" t="n">
        <f aca="false">SUM(AF13:AF15)</f>
        <v>-2661.55130427948</v>
      </c>
    </row>
    <row r="17" customFormat="false" ht="12.75" hidden="false" customHeight="false" outlineLevel="0" collapsed="false">
      <c r="A17" s="616"/>
      <c r="B17" s="334"/>
      <c r="C17" s="334"/>
      <c r="D17" s="334"/>
      <c r="E17" s="334"/>
      <c r="F17" s="334"/>
      <c r="G17" s="334"/>
      <c r="H17" s="334"/>
      <c r="I17" s="334"/>
      <c r="J17" s="334"/>
      <c r="K17" s="334"/>
      <c r="L17" s="334"/>
      <c r="M17" s="334"/>
      <c r="N17" s="334"/>
      <c r="O17" s="334"/>
      <c r="P17" s="334"/>
      <c r="Q17" s="334"/>
      <c r="R17" s="334"/>
      <c r="S17" s="334"/>
      <c r="T17" s="334"/>
      <c r="U17" s="334"/>
      <c r="V17" s="334"/>
      <c r="W17" s="334"/>
      <c r="X17" s="334"/>
      <c r="Y17" s="334"/>
      <c r="Z17" s="334"/>
      <c r="AA17" s="334"/>
      <c r="AB17" s="334"/>
      <c r="AC17" s="334"/>
      <c r="AD17" s="334"/>
      <c r="AE17" s="334"/>
      <c r="AF17" s="334"/>
    </row>
    <row r="18" customFormat="false" ht="12.75" hidden="false" customHeight="false" outlineLevel="0" collapsed="false">
      <c r="A18" s="616" t="s">
        <v>421</v>
      </c>
      <c r="B18" s="334" t="n">
        <f aca="false">B16</f>
        <v>-1243.85356468688</v>
      </c>
      <c r="C18" s="334" t="n">
        <f aca="false">C16</f>
        <v>-7396.63516723435</v>
      </c>
      <c r="D18" s="334" t="n">
        <f aca="false">D16</f>
        <v>-6002.46958904308</v>
      </c>
      <c r="E18" s="334" t="n">
        <f aca="false">E16</f>
        <v>-4719.6465439929</v>
      </c>
      <c r="F18" s="334" t="n">
        <f aca="false">F16</f>
        <v>-3521.62357060254</v>
      </c>
      <c r="G18" s="334" t="n">
        <f aca="false">G16</f>
        <v>-2394.42244516456</v>
      </c>
      <c r="H18" s="334" t="n">
        <f aca="false">H16</f>
        <v>-1716.46875725837</v>
      </c>
      <c r="I18" s="334" t="n">
        <f aca="false">I16</f>
        <v>-1448.24251262836</v>
      </c>
      <c r="J18" s="334" t="n">
        <f aca="false">J16</f>
        <v>-1132.26907195245</v>
      </c>
      <c r="K18" s="334" t="n">
        <f aca="false">K16</f>
        <v>-817.404575960821</v>
      </c>
      <c r="L18" s="334" t="n">
        <f aca="false">L16</f>
        <v>-451.06962534446</v>
      </c>
      <c r="M18" s="334" t="n">
        <f aca="false">M16</f>
        <v>-81.8231229646217</v>
      </c>
      <c r="N18" s="334" t="n">
        <f aca="false">N16</f>
        <v>343.235297664931</v>
      </c>
      <c r="O18" s="334" t="n">
        <f aca="false">O16</f>
        <v>775.893324543761</v>
      </c>
      <c r="P18" s="334" t="n">
        <f aca="false">P16</f>
        <v>1269.42558431094</v>
      </c>
      <c r="Q18" s="334" t="n">
        <f aca="false">Q16</f>
        <v>5523.85105511914</v>
      </c>
      <c r="R18" s="334" t="n">
        <f aca="false">R16</f>
        <v>9819.73045720831</v>
      </c>
      <c r="S18" s="334" t="n">
        <f aca="false">S16</f>
        <v>10425.2075971931</v>
      </c>
      <c r="T18" s="334" t="n">
        <f aca="false">T16</f>
        <v>10611.0590557205</v>
      </c>
      <c r="U18" s="334" t="n">
        <f aca="false">U16</f>
        <v>10611.0590557205</v>
      </c>
      <c r="V18" s="334" t="n">
        <f aca="false">V16</f>
        <v>10656.0590557205</v>
      </c>
      <c r="W18" s="334" t="n">
        <f aca="false">W16</f>
        <v>10656.0590557205</v>
      </c>
      <c r="X18" s="334" t="n">
        <f aca="false">X16</f>
        <v>10656.0590557205</v>
      </c>
      <c r="Y18" s="334" t="n">
        <f aca="false">Y16</f>
        <v>10656.0590557205</v>
      </c>
      <c r="Z18" s="334" t="n">
        <f aca="false">Z16</f>
        <v>10656.0590557205</v>
      </c>
      <c r="AA18" s="334" t="n">
        <f aca="false">AA16</f>
        <v>-2661.55130427947</v>
      </c>
      <c r="AB18" s="334" t="n">
        <f aca="false">AB16</f>
        <v>-2661.55130427947</v>
      </c>
      <c r="AC18" s="334" t="n">
        <f aca="false">AC16</f>
        <v>-2661.55130427947</v>
      </c>
      <c r="AD18" s="334" t="n">
        <f aca="false">AD16</f>
        <v>-2661.55130427947</v>
      </c>
      <c r="AE18" s="334" t="n">
        <f aca="false">AE16</f>
        <v>-2661.55130427947</v>
      </c>
      <c r="AF18" s="334" t="n">
        <f aca="false">AF16</f>
        <v>-2661.55130427948</v>
      </c>
    </row>
    <row r="19" customFormat="false" ht="12.75" hidden="false" customHeight="false" outlineLevel="0" collapsed="false">
      <c r="A19" s="616" t="s">
        <v>422</v>
      </c>
      <c r="B19" s="647" t="n">
        <f aca="false">Assumptions!$Q$56</f>
        <v>0.06</v>
      </c>
      <c r="C19" s="647" t="n">
        <f aca="false">Assumptions!$Q$56</f>
        <v>0.06</v>
      </c>
      <c r="D19" s="647" t="n">
        <f aca="false">Assumptions!$Q$56</f>
        <v>0.06</v>
      </c>
      <c r="E19" s="647" t="n">
        <f aca="false">Assumptions!$Q$56</f>
        <v>0.06</v>
      </c>
      <c r="F19" s="647" t="n">
        <f aca="false">Assumptions!$Q$56</f>
        <v>0.06</v>
      </c>
      <c r="G19" s="647" t="n">
        <f aca="false">Assumptions!$Q$56</f>
        <v>0.06</v>
      </c>
      <c r="H19" s="647" t="n">
        <f aca="false">Assumptions!$Q$56</f>
        <v>0.06</v>
      </c>
      <c r="I19" s="647" t="n">
        <f aca="false">Assumptions!$Q$56</f>
        <v>0.06</v>
      </c>
      <c r="J19" s="647" t="n">
        <f aca="false">Assumptions!$Q$56</f>
        <v>0.06</v>
      </c>
      <c r="K19" s="647" t="n">
        <f aca="false">Assumptions!$Q$56</f>
        <v>0.06</v>
      </c>
      <c r="L19" s="647" t="n">
        <f aca="false">Assumptions!$Q$56</f>
        <v>0.06</v>
      </c>
      <c r="M19" s="647" t="n">
        <f aca="false">Assumptions!$Q$56</f>
        <v>0.06</v>
      </c>
      <c r="N19" s="647" t="n">
        <f aca="false">Assumptions!$Q$56</f>
        <v>0.06</v>
      </c>
      <c r="O19" s="647" t="n">
        <f aca="false">Assumptions!$Q$56</f>
        <v>0.06</v>
      </c>
      <c r="P19" s="647" t="n">
        <f aca="false">Assumptions!$Q$56</f>
        <v>0.06</v>
      </c>
      <c r="Q19" s="647" t="n">
        <f aca="false">Assumptions!$Q$56</f>
        <v>0.06</v>
      </c>
      <c r="R19" s="647" t="n">
        <f aca="false">Assumptions!$Q$56</f>
        <v>0.06</v>
      </c>
      <c r="S19" s="647" t="n">
        <f aca="false">Assumptions!$Q$56</f>
        <v>0.06</v>
      </c>
      <c r="T19" s="647" t="n">
        <f aca="false">Assumptions!$Q$56</f>
        <v>0.06</v>
      </c>
      <c r="U19" s="647" t="n">
        <f aca="false">Assumptions!$Q$56</f>
        <v>0.06</v>
      </c>
      <c r="V19" s="647" t="n">
        <f aca="false">Assumptions!$Q$56</f>
        <v>0.06</v>
      </c>
      <c r="W19" s="647" t="n">
        <f aca="false">Assumptions!$Q$56</f>
        <v>0.06</v>
      </c>
      <c r="X19" s="647" t="n">
        <f aca="false">Assumptions!$Q$56</f>
        <v>0.06</v>
      </c>
      <c r="Y19" s="647" t="n">
        <f aca="false">Assumptions!$Q$56</f>
        <v>0.06</v>
      </c>
      <c r="Z19" s="647" t="n">
        <f aca="false">Assumptions!$Q$56</f>
        <v>0.06</v>
      </c>
      <c r="AA19" s="647" t="n">
        <f aca="false">Assumptions!$Q$56</f>
        <v>0.06</v>
      </c>
      <c r="AB19" s="647" t="n">
        <f aca="false">Assumptions!$Q$56</f>
        <v>0.06</v>
      </c>
      <c r="AC19" s="647" t="n">
        <f aca="false">Assumptions!$Q$56</f>
        <v>0.06</v>
      </c>
      <c r="AD19" s="647" t="n">
        <f aca="false">Assumptions!$Q$56</f>
        <v>0.06</v>
      </c>
      <c r="AE19" s="647" t="n">
        <f aca="false">Assumptions!$Q$56</f>
        <v>0.06</v>
      </c>
      <c r="AF19" s="647" t="n">
        <f aca="false">Assumptions!$Q$56</f>
        <v>0.06</v>
      </c>
    </row>
    <row r="20" customFormat="false" ht="12.75" hidden="false" customHeight="false" outlineLevel="0" collapsed="false">
      <c r="A20" s="616" t="s">
        <v>423</v>
      </c>
      <c r="B20" s="334" t="n">
        <f aca="false">B18*B19</f>
        <v>-74.6312138812127</v>
      </c>
      <c r="C20" s="334" t="n">
        <f aca="false">C18*C19</f>
        <v>-443.798110034061</v>
      </c>
      <c r="D20" s="334" t="n">
        <f aca="false">D18*D19</f>
        <v>-360.148175342585</v>
      </c>
      <c r="E20" s="334" t="n">
        <f aca="false">E18*E19</f>
        <v>-283.178792639574</v>
      </c>
      <c r="F20" s="334" t="n">
        <f aca="false">F18*F19</f>
        <v>-211.297414236152</v>
      </c>
      <c r="G20" s="334" t="n">
        <f aca="false">G18*G19</f>
        <v>-143.665346709873</v>
      </c>
      <c r="H20" s="334" t="n">
        <f aca="false">H18*H19</f>
        <v>-102.988125435502</v>
      </c>
      <c r="I20" s="334" t="n">
        <f aca="false">I18*I19</f>
        <v>-86.8945507577015</v>
      </c>
      <c r="J20" s="334" t="n">
        <f aca="false">J18*J19</f>
        <v>-67.936144317147</v>
      </c>
      <c r="K20" s="334" t="n">
        <f aca="false">K18*K19</f>
        <v>-49.0442745576492</v>
      </c>
      <c r="L20" s="334" t="n">
        <f aca="false">L18*L19</f>
        <v>-27.0641775206676</v>
      </c>
      <c r="M20" s="334" t="n">
        <f aca="false">M18*M19</f>
        <v>-4.9093873778773</v>
      </c>
      <c r="N20" s="334" t="n">
        <f aca="false">N18*N19</f>
        <v>20.5941178598959</v>
      </c>
      <c r="O20" s="334" t="n">
        <f aca="false">O18*O19</f>
        <v>46.5535994726257</v>
      </c>
      <c r="P20" s="334" t="n">
        <f aca="false">P18*P19</f>
        <v>76.1655350586563</v>
      </c>
      <c r="Q20" s="334" t="n">
        <f aca="false">Q18*Q19</f>
        <v>331.431063307148</v>
      </c>
      <c r="R20" s="334" t="n">
        <f aca="false">R18*R19</f>
        <v>589.183827432499</v>
      </c>
      <c r="S20" s="334" t="n">
        <f aca="false">S18*S19</f>
        <v>625.512455831586</v>
      </c>
      <c r="T20" s="334" t="n">
        <f aca="false">T18*T19</f>
        <v>636.663543343232</v>
      </c>
      <c r="U20" s="334" t="n">
        <f aca="false">U18*U19</f>
        <v>636.663543343232</v>
      </c>
      <c r="V20" s="334" t="n">
        <f aca="false">V18*V19</f>
        <v>639.363543343232</v>
      </c>
      <c r="W20" s="334" t="n">
        <f aca="false">W18*W19</f>
        <v>639.363543343232</v>
      </c>
      <c r="X20" s="334" t="n">
        <f aca="false">X18*X19</f>
        <v>639.363543343232</v>
      </c>
      <c r="Y20" s="334" t="n">
        <f aca="false">Y18*Y19</f>
        <v>639.363543343232</v>
      </c>
      <c r="Z20" s="334" t="n">
        <f aca="false">Z18*Z19</f>
        <v>639.363543343232</v>
      </c>
      <c r="AA20" s="334" t="n">
        <f aca="false">AA18*AA19</f>
        <v>-159.693078256768</v>
      </c>
      <c r="AB20" s="334" t="n">
        <f aca="false">AB18*AB19</f>
        <v>-159.693078256768</v>
      </c>
      <c r="AC20" s="334" t="n">
        <f aca="false">AC18*AC19</f>
        <v>-159.693078256768</v>
      </c>
      <c r="AD20" s="334" t="n">
        <f aca="false">AD18*AD19</f>
        <v>-159.693078256768</v>
      </c>
      <c r="AE20" s="334" t="n">
        <f aca="false">AE18*AE19</f>
        <v>-159.693078256768</v>
      </c>
      <c r="AF20" s="334" t="n">
        <f aca="false">AF18*AF19</f>
        <v>-159.693078256769</v>
      </c>
    </row>
    <row r="21" customFormat="false" ht="12.75" hidden="false" customHeight="false" outlineLevel="0" collapsed="false">
      <c r="A21" s="616"/>
      <c r="B21" s="334"/>
      <c r="C21" s="334"/>
      <c r="D21" s="334"/>
      <c r="E21" s="334"/>
      <c r="F21" s="334"/>
      <c r="G21" s="334"/>
      <c r="H21" s="334"/>
      <c r="I21" s="334"/>
      <c r="J21" s="334"/>
      <c r="K21" s="334"/>
      <c r="L21" s="334"/>
      <c r="M21" s="334"/>
      <c r="N21" s="334"/>
      <c r="O21" s="334"/>
      <c r="P21" s="334"/>
      <c r="Q21" s="334"/>
      <c r="R21" s="334"/>
      <c r="S21" s="334"/>
      <c r="T21" s="334"/>
      <c r="U21" s="334"/>
      <c r="V21" s="334"/>
      <c r="W21" s="334"/>
      <c r="X21" s="334"/>
      <c r="Y21" s="334"/>
      <c r="Z21" s="334"/>
      <c r="AA21" s="334"/>
      <c r="AB21" s="334"/>
      <c r="AC21" s="334"/>
      <c r="AD21" s="334"/>
      <c r="AE21" s="334"/>
      <c r="AF21" s="334"/>
    </row>
    <row r="22" customFormat="false" ht="12.75" hidden="false" customHeight="false" outlineLevel="0" collapsed="false">
      <c r="A22" s="616" t="s">
        <v>424</v>
      </c>
      <c r="B22" s="334" t="n">
        <v>0</v>
      </c>
      <c r="C22" s="334" t="n">
        <f aca="false">B26</f>
        <v>74.6312138812127</v>
      </c>
      <c r="D22" s="334" t="n">
        <f aca="false">C26</f>
        <v>518.429323915274</v>
      </c>
      <c r="E22" s="334" t="n">
        <f aca="false">D26</f>
        <v>878.577499257858</v>
      </c>
      <c r="F22" s="334" t="n">
        <f aca="false">E26</f>
        <v>1161.75629189743</v>
      </c>
      <c r="G22" s="334" t="n">
        <f aca="false">F26</f>
        <v>1373.05370613358</v>
      </c>
      <c r="H22" s="334" t="n">
        <f aca="false">G26</f>
        <v>1516.71905284346</v>
      </c>
      <c r="I22" s="334" t="n">
        <f aca="false">H26</f>
        <v>1619.70717827896</v>
      </c>
      <c r="J22" s="334" t="n">
        <f aca="false">I26</f>
        <v>1706.60172903666</v>
      </c>
      <c r="K22" s="334" t="n">
        <f aca="false">J26</f>
        <v>1774.53787335381</v>
      </c>
      <c r="L22" s="334" t="n">
        <f aca="false">K26</f>
        <v>1823.58214791146</v>
      </c>
      <c r="M22" s="334" t="n">
        <f aca="false">L26</f>
        <v>1850.64632543213</v>
      </c>
      <c r="N22" s="334" t="n">
        <f aca="false">M26</f>
        <v>1855.55571281</v>
      </c>
      <c r="O22" s="334" t="n">
        <f aca="false">N26</f>
        <v>1834.96159495011</v>
      </c>
      <c r="P22" s="334" t="n">
        <f aca="false">O26</f>
        <v>1788.40799547748</v>
      </c>
      <c r="Q22" s="334" t="n">
        <f aca="false">P26</f>
        <v>1712.24246041883</v>
      </c>
      <c r="R22" s="334" t="n">
        <f aca="false">Q26</f>
        <v>1380.81139711168</v>
      </c>
      <c r="S22" s="334" t="n">
        <f aca="false">R26</f>
        <v>791.627569679178</v>
      </c>
      <c r="T22" s="334" t="n">
        <v>0</v>
      </c>
      <c r="U22" s="334" t="n">
        <f aca="false">T26</f>
        <v>0</v>
      </c>
      <c r="V22" s="334" t="n">
        <f aca="false">U26</f>
        <v>0</v>
      </c>
      <c r="W22" s="334" t="n">
        <f aca="false">V26</f>
        <v>0</v>
      </c>
      <c r="X22" s="334" t="n">
        <f aca="false">W26</f>
        <v>0</v>
      </c>
      <c r="Y22" s="334" t="n">
        <f aca="false">X26</f>
        <v>0</v>
      </c>
      <c r="Z22" s="334" t="n">
        <f aca="false">Y26</f>
        <v>0</v>
      </c>
      <c r="AA22" s="334" t="n">
        <f aca="false">Z26</f>
        <v>0</v>
      </c>
      <c r="AB22" s="334" t="n">
        <f aca="false">AA26</f>
        <v>159.693078256768</v>
      </c>
      <c r="AC22" s="334" t="n">
        <f aca="false">AB26</f>
        <v>319.386156513537</v>
      </c>
      <c r="AD22" s="334" t="n">
        <f aca="false">AC26</f>
        <v>479.079234770305</v>
      </c>
      <c r="AE22" s="334" t="n">
        <f aca="false">AD26</f>
        <v>638.772313027074</v>
      </c>
      <c r="AF22" s="334" t="n">
        <f aca="false">AE26</f>
        <v>798.465391283842</v>
      </c>
    </row>
    <row r="23" customFormat="false" ht="12.75" hidden="false" customHeight="false" outlineLevel="0" collapsed="false">
      <c r="A23" s="616" t="s">
        <v>425</v>
      </c>
      <c r="B23" s="334" t="n">
        <f aca="false">IF(B20&lt;0,-B20,0)</f>
        <v>74.6312138812127</v>
      </c>
      <c r="C23" s="334" t="n">
        <f aca="false">IF(C20&lt;0,-C20,0)</f>
        <v>443.798110034061</v>
      </c>
      <c r="D23" s="334" t="n">
        <f aca="false">IF(D20&lt;0,-D20,0)</f>
        <v>360.148175342585</v>
      </c>
      <c r="E23" s="334" t="n">
        <f aca="false">IF(E20&lt;0,-E20,0)</f>
        <v>283.178792639574</v>
      </c>
      <c r="F23" s="334" t="n">
        <f aca="false">IF(F20&lt;0,-F20,0)</f>
        <v>211.297414236152</v>
      </c>
      <c r="G23" s="334" t="n">
        <f aca="false">IF(G20&lt;0,-G20,0)</f>
        <v>143.665346709873</v>
      </c>
      <c r="H23" s="334" t="n">
        <f aca="false">IF(H20&lt;0,-H20,0)</f>
        <v>102.988125435502</v>
      </c>
      <c r="I23" s="334" t="n">
        <f aca="false">IF(I20&lt;0,-I20,0)</f>
        <v>86.8945507577015</v>
      </c>
      <c r="J23" s="334" t="n">
        <f aca="false">IF(J20&lt;0,-J20,0)</f>
        <v>67.936144317147</v>
      </c>
      <c r="K23" s="334" t="n">
        <f aca="false">IF(K20&lt;0,-K20,0)</f>
        <v>49.0442745576492</v>
      </c>
      <c r="L23" s="334" t="n">
        <f aca="false">IF(L20&lt;0,-L20,0)</f>
        <v>27.0641775206676</v>
      </c>
      <c r="M23" s="334" t="n">
        <f aca="false">IF(M20&lt;0,-M20,0)</f>
        <v>4.9093873778773</v>
      </c>
      <c r="N23" s="334" t="n">
        <f aca="false">IF(N20&lt;0,-N20,0)</f>
        <v>0</v>
      </c>
      <c r="O23" s="334" t="n">
        <f aca="false">IF(O20&lt;0,-O20,0)</f>
        <v>0</v>
      </c>
      <c r="P23" s="334" t="n">
        <f aca="false">IF(P20&lt;0,-P20,0)</f>
        <v>0</v>
      </c>
      <c r="Q23" s="334" t="n">
        <f aca="false">IF(Q20&lt;0,-Q20,0)</f>
        <v>0</v>
      </c>
      <c r="R23" s="334" t="n">
        <f aca="false">IF(R20&lt;0,-R20,0)</f>
        <v>0</v>
      </c>
      <c r="S23" s="334" t="n">
        <f aca="false">IF(S20&lt;0,-S20,0)</f>
        <v>0</v>
      </c>
      <c r="T23" s="334" t="n">
        <f aca="false">IF(T20&lt;0,-T20,0)</f>
        <v>0</v>
      </c>
      <c r="U23" s="334" t="n">
        <f aca="false">IF(U20&lt;0,-U20,0)</f>
        <v>0</v>
      </c>
      <c r="V23" s="334" t="n">
        <f aca="false">IF(V20&lt;0,-V20,0)</f>
        <v>0</v>
      </c>
      <c r="W23" s="334" t="n">
        <f aca="false">IF(W20&lt;0,-W20,0)</f>
        <v>0</v>
      </c>
      <c r="X23" s="334" t="n">
        <f aca="false">IF(X20&lt;0,-X20,0)</f>
        <v>0</v>
      </c>
      <c r="Y23" s="334" t="n">
        <f aca="false">IF(Y20&lt;0,-Y20,0)</f>
        <v>0</v>
      </c>
      <c r="Z23" s="334" t="n">
        <f aca="false">IF(Z20&lt;0,-Z20,0)</f>
        <v>0</v>
      </c>
      <c r="AA23" s="334" t="n">
        <f aca="false">IF(AA20&lt;0,-AA20,0)</f>
        <v>159.693078256768</v>
      </c>
      <c r="AB23" s="334" t="n">
        <f aca="false">IF(AB20&lt;0,-AB20,0)</f>
        <v>159.693078256768</v>
      </c>
      <c r="AC23" s="334" t="n">
        <f aca="false">IF(AC20&lt;0,-AC20,0)</f>
        <v>159.693078256768</v>
      </c>
      <c r="AD23" s="334" t="n">
        <f aca="false">IF(AD20&lt;0,-AD20,0)</f>
        <v>159.693078256768</v>
      </c>
      <c r="AE23" s="334" t="n">
        <f aca="false">IF(AE20&lt;0,-AE20,0)</f>
        <v>159.693078256768</v>
      </c>
      <c r="AF23" s="334" t="n">
        <f aca="false">IF(AF20&lt;0,-AF20,0)</f>
        <v>159.693078256769</v>
      </c>
    </row>
    <row r="24" customFormat="false" ht="12.75" hidden="false" customHeight="false" outlineLevel="0" collapsed="false">
      <c r="A24" s="616" t="s">
        <v>426</v>
      </c>
      <c r="B24" s="648" t="n">
        <v>0</v>
      </c>
      <c r="C24" s="648" t="n">
        <v>0</v>
      </c>
      <c r="D24" s="648" t="n">
        <v>0</v>
      </c>
      <c r="E24" s="648" t="n">
        <v>0</v>
      </c>
      <c r="F24" s="648" t="n">
        <v>0</v>
      </c>
      <c r="G24" s="648" t="n">
        <v>0</v>
      </c>
      <c r="H24" s="648" t="n">
        <v>0</v>
      </c>
      <c r="I24" s="648" t="n">
        <v>0</v>
      </c>
      <c r="J24" s="648" t="n">
        <v>0</v>
      </c>
      <c r="K24" s="648" t="n">
        <v>0</v>
      </c>
      <c r="L24" s="648" t="n">
        <v>0</v>
      </c>
      <c r="M24" s="648" t="n">
        <v>0</v>
      </c>
      <c r="N24" s="648" t="n">
        <v>0</v>
      </c>
      <c r="O24" s="648" t="n">
        <v>0</v>
      </c>
      <c r="P24" s="648" t="n">
        <v>0</v>
      </c>
      <c r="Q24" s="648" t="n">
        <v>0</v>
      </c>
      <c r="R24" s="648" t="n">
        <v>0</v>
      </c>
      <c r="S24" s="648" t="n">
        <v>0</v>
      </c>
      <c r="T24" s="648" t="n">
        <v>0</v>
      </c>
      <c r="U24" s="648" t="n">
        <v>0</v>
      </c>
      <c r="V24" s="334" t="n">
        <f aca="false">IF(N23&gt;(SUM(O25:U25)+SUM(N24:U24))*-1,N23-(SUM(N25:U25)+SUM(N24:U24))*-1,0)</f>
        <v>0</v>
      </c>
      <c r="W24" s="334" t="n">
        <f aca="false">IF(O23&gt;(SUM(P25:V25)+SUM(O24:V24))*-1,O23-(SUM(O25:V25)+SUM(O24:V24))*-1,0)</f>
        <v>0</v>
      </c>
      <c r="X24" s="334" t="n">
        <f aca="false">IF(P23&gt;(SUM(Q25:W25)+SUM(P24:W24))*-1,P23-(SUM(P25:W25)+SUM(P24:W24))*-1,0)</f>
        <v>0</v>
      </c>
      <c r="Y24" s="334" t="n">
        <f aca="false">IF(Q23&gt;(SUM(R25:X25)+SUM(Q24:X24))*-1,Q23-(SUM(Q25:X25)+SUM(Q24:X24))*-1,0)</f>
        <v>0</v>
      </c>
      <c r="Z24" s="334" t="n">
        <f aca="false">IF(R23&gt;(SUM(S25:Y25)+SUM(R24:Y24))*-1,R23-(SUM(R25:Y25)+SUM(R24:Y24))*-1,0)</f>
        <v>0</v>
      </c>
      <c r="AA24" s="334" t="n">
        <f aca="false">IF(S23&gt;(SUM(T25:Z25)+SUM(S24:Z24))*-1,S23-(SUM(S25:Z25)+SUM(S24:Z24))*-1,0)</f>
        <v>0</v>
      </c>
      <c r="AB24" s="334" t="n">
        <f aca="false">IF(T23&gt;(SUM(U25:AA25)+SUM(T24:AA24))*-1,T23-(SUM(T25:AA25)+SUM(T24:AA24))*-1,0)</f>
        <v>0</v>
      </c>
      <c r="AC24" s="334" t="n">
        <f aca="false">IF(U23&gt;(SUM(V25:AB25)+SUM(U24:AB24))*-1,U23-(SUM(U25:AB25)+SUM(U24:AB24))*-1,0)</f>
        <v>0</v>
      </c>
      <c r="AD24" s="334" t="n">
        <f aca="false">IF(V23&gt;(SUM(W25:AC25)+SUM(V24:AC24))*-1,V23-(SUM(V25:AC25)+SUM(V24:AC24))*-1,0)</f>
        <v>0</v>
      </c>
      <c r="AE24" s="334" t="n">
        <f aca="false">IF(W23&gt;(SUM(X25:AD25)+SUM(W24:AD24))*-1,W23-(SUM(W25:AD25)+SUM(W24:AD24))*-1,0)</f>
        <v>0</v>
      </c>
      <c r="AF24" s="334" t="n">
        <f aca="false">IF(X23&gt;(SUM(Y25:AE25)+SUM(X24:AE24))*-1,X23-(SUM(X25:AE25)+SUM(X24:AE24))*-1,0)</f>
        <v>0</v>
      </c>
    </row>
    <row r="25" customFormat="false" ht="12.75" hidden="false" customHeight="false" outlineLevel="0" collapsed="false">
      <c r="A25" s="39" t="s">
        <v>427</v>
      </c>
      <c r="B25" s="406" t="n">
        <f aca="false">IF(B20&lt;0,0,IF(B22&gt;B20,-B20,-B22))</f>
        <v>0</v>
      </c>
      <c r="C25" s="406" t="n">
        <f aca="false">IF(C20&lt;0,0,IF(C22&gt;C20,-C20,-C22))</f>
        <v>0</v>
      </c>
      <c r="D25" s="406" t="n">
        <f aca="false">IF(D20&lt;0,0,IF(D22&gt;D20,-D20,-D22))</f>
        <v>0</v>
      </c>
      <c r="E25" s="406" t="n">
        <f aca="false">IF(E20&lt;0,0,IF(E22&gt;E20,-E20,-E22))</f>
        <v>0</v>
      </c>
      <c r="F25" s="406" t="n">
        <f aca="false">IF(F20&lt;0,0,IF(F22&gt;F20,-F20,-F22))</f>
        <v>0</v>
      </c>
      <c r="G25" s="406" t="n">
        <f aca="false">IF(G20&lt;0,0,IF(G22&gt;G20,-G20,-G22))</f>
        <v>0</v>
      </c>
      <c r="H25" s="406" t="n">
        <f aca="false">IF(H20&lt;0,0,IF(H22&gt;H20,-H20,-H22))</f>
        <v>0</v>
      </c>
      <c r="I25" s="406" t="n">
        <f aca="false">IF(I20&lt;0,0,IF(I22&gt;I20,-I20,-I22))</f>
        <v>0</v>
      </c>
      <c r="J25" s="406" t="n">
        <f aca="false">IF(J20&lt;0,0,IF(J22&gt;J20,-J20,-J22))</f>
        <v>0</v>
      </c>
      <c r="K25" s="406" t="n">
        <f aca="false">IF(K20&lt;0,0,IF(K22&gt;K20,-K20,-K22))</f>
        <v>0</v>
      </c>
      <c r="L25" s="406" t="n">
        <f aca="false">IF(L20&lt;0,0,IF(L22&gt;L20,-L20,-L22))</f>
        <v>0</v>
      </c>
      <c r="M25" s="406" t="n">
        <f aca="false">IF(M20&lt;0,0,IF(M22&gt;M20,-M20,-M22))</f>
        <v>0</v>
      </c>
      <c r="N25" s="406" t="n">
        <f aca="false">IF(N20&lt;0,0,IF(N22&gt;N20,-N20,-N22))</f>
        <v>-20.5941178598959</v>
      </c>
      <c r="O25" s="406" t="n">
        <f aca="false">IF(O20&lt;0,0,IF(O22&gt;O20,-O20,-O22))</f>
        <v>-46.5535994726257</v>
      </c>
      <c r="P25" s="406" t="n">
        <f aca="false">IF(P20&lt;0,0,IF(P22&gt;P20,-P20,-P22))</f>
        <v>-76.1655350586563</v>
      </c>
      <c r="Q25" s="406" t="n">
        <f aca="false">IF(Q20&lt;0,0,IF(Q22&gt;Q20,-Q20,-Q22))</f>
        <v>-331.431063307148</v>
      </c>
      <c r="R25" s="406" t="n">
        <f aca="false">IF(R20&lt;0,0,IF(R22&gt;R20,-R20,-R22))</f>
        <v>-589.183827432499</v>
      </c>
      <c r="S25" s="406" t="n">
        <f aca="false">IF(S20&lt;0,0,IF(S22&gt;S20,-S20,-S22))</f>
        <v>-625.512455831586</v>
      </c>
      <c r="T25" s="406" t="n">
        <f aca="false">IF(T20&lt;0,0,IF(T22&gt;T20,-T20,-T22))</f>
        <v>-0</v>
      </c>
      <c r="U25" s="406" t="n">
        <f aca="false">IF(U20&lt;0,0,IF(U22&gt;U20,-U20,-U22))</f>
        <v>-0</v>
      </c>
      <c r="V25" s="406" t="n">
        <f aca="false">IF(V20&lt;0,0,IF(V22&gt;V20,-V20,-V22))</f>
        <v>-0</v>
      </c>
      <c r="W25" s="406" t="n">
        <f aca="false">IF(W20&lt;0,0,IF(W22&gt;W20,-W20,-W22))</f>
        <v>-0</v>
      </c>
      <c r="X25" s="406" t="n">
        <f aca="false">IF(X20&lt;0,0,IF(X22&gt;X20,-X20,-X22))</f>
        <v>-0</v>
      </c>
      <c r="Y25" s="406" t="n">
        <f aca="false">IF(Y20&lt;0,0,IF(Y22&gt;Y20,-Y20,-Y22))</f>
        <v>-0</v>
      </c>
      <c r="Z25" s="406" t="n">
        <f aca="false">IF(Z20&lt;0,0,IF(Z22&gt;Z20,-Z20,-Z22))</f>
        <v>-0</v>
      </c>
      <c r="AA25" s="406" t="n">
        <f aca="false">IF(AA20&lt;0,0,IF(AA22&gt;AA20,-AA20,-AA22))</f>
        <v>0</v>
      </c>
      <c r="AB25" s="406" t="n">
        <f aca="false">IF(AB20&lt;0,0,IF(AB22&gt;AB20,-AB20,-AB22))</f>
        <v>0</v>
      </c>
      <c r="AC25" s="406" t="n">
        <f aca="false">IF(AC20&lt;0,0,IF(AC22&gt;AC20,-AC20,-AC22))</f>
        <v>0</v>
      </c>
      <c r="AD25" s="406" t="n">
        <f aca="false">IF(AD20&lt;0,0,IF(AD22&gt;AD20,-AD20,-AD22))</f>
        <v>0</v>
      </c>
      <c r="AE25" s="406" t="n">
        <f aca="false">IF(AE20&lt;0,0,IF(AE22&gt;AE20,-AE20,-AE22))</f>
        <v>0</v>
      </c>
      <c r="AF25" s="406" t="n">
        <f aca="false">IF(AF20&lt;0,0,IF(AF22&gt;AF20,-AF20,-AF22))</f>
        <v>0</v>
      </c>
    </row>
    <row r="26" customFormat="false" ht="12.75" hidden="false" customHeight="false" outlineLevel="0" collapsed="false">
      <c r="A26" s="39" t="s">
        <v>428</v>
      </c>
      <c r="B26" s="406" t="n">
        <f aca="false">SUM(B22:B25)</f>
        <v>74.6312138812127</v>
      </c>
      <c r="C26" s="406" t="n">
        <f aca="false">SUM(C22:C25)</f>
        <v>518.429323915274</v>
      </c>
      <c r="D26" s="406" t="n">
        <f aca="false">SUM(D22:D25)</f>
        <v>878.577499257858</v>
      </c>
      <c r="E26" s="406" t="n">
        <f aca="false">SUM(E22:E25)</f>
        <v>1161.75629189743</v>
      </c>
      <c r="F26" s="406" t="n">
        <f aca="false">SUM(F22:F25)</f>
        <v>1373.05370613358</v>
      </c>
      <c r="G26" s="406" t="n">
        <f aca="false">SUM(G22:G25)</f>
        <v>1516.71905284346</v>
      </c>
      <c r="H26" s="406" t="n">
        <f aca="false">SUM(H22:H25)</f>
        <v>1619.70717827896</v>
      </c>
      <c r="I26" s="406" t="n">
        <f aca="false">SUM(I22:I25)</f>
        <v>1706.60172903666</v>
      </c>
      <c r="J26" s="406" t="n">
        <f aca="false">SUM(J22:J25)</f>
        <v>1774.53787335381</v>
      </c>
      <c r="K26" s="406" t="n">
        <f aca="false">SUM(K22:K25)</f>
        <v>1823.58214791146</v>
      </c>
      <c r="L26" s="406" t="n">
        <f aca="false">SUM(L22:L25)</f>
        <v>1850.64632543213</v>
      </c>
      <c r="M26" s="406" t="n">
        <f aca="false">SUM(M22:M25)</f>
        <v>1855.55571281</v>
      </c>
      <c r="N26" s="406" t="n">
        <f aca="false">SUM(N22:N25)</f>
        <v>1834.96159495011</v>
      </c>
      <c r="O26" s="406" t="n">
        <f aca="false">SUM(O22:O25)</f>
        <v>1788.40799547748</v>
      </c>
      <c r="P26" s="406" t="n">
        <f aca="false">SUM(P22:P25)</f>
        <v>1712.24246041883</v>
      </c>
      <c r="Q26" s="406" t="n">
        <f aca="false">SUM(Q22:Q25)</f>
        <v>1380.81139711168</v>
      </c>
      <c r="R26" s="406" t="n">
        <f aca="false">SUM(R22:R25)</f>
        <v>791.627569679178</v>
      </c>
      <c r="S26" s="406" t="n">
        <f aca="false">SUM(S22:S25)</f>
        <v>166.115113847592</v>
      </c>
      <c r="T26" s="406" t="n">
        <f aca="false">SUM(T22:T25)</f>
        <v>0</v>
      </c>
      <c r="U26" s="406" t="n">
        <f aca="false">SUM(U22:U25)</f>
        <v>0</v>
      </c>
      <c r="V26" s="406" t="n">
        <f aca="false">SUM(V22:V25)</f>
        <v>0</v>
      </c>
      <c r="W26" s="406" t="n">
        <f aca="false">SUM(W22:W25)</f>
        <v>0</v>
      </c>
      <c r="X26" s="406" t="n">
        <f aca="false">SUM(X22:X25)</f>
        <v>0</v>
      </c>
      <c r="Y26" s="406" t="n">
        <f aca="false">SUM(Y22:Y25)</f>
        <v>0</v>
      </c>
      <c r="Z26" s="406" t="n">
        <f aca="false">SUM(Z22:Z25)</f>
        <v>0</v>
      </c>
      <c r="AA26" s="406" t="n">
        <f aca="false">SUM(AA22:AA25)</f>
        <v>159.693078256768</v>
      </c>
      <c r="AB26" s="406" t="n">
        <f aca="false">SUM(AB22:AB25)</f>
        <v>319.386156513537</v>
      </c>
      <c r="AC26" s="406" t="n">
        <f aca="false">SUM(AC22:AC25)</f>
        <v>479.079234770305</v>
      </c>
      <c r="AD26" s="406" t="n">
        <f aca="false">SUM(AD22:AD25)</f>
        <v>638.772313027074</v>
      </c>
      <c r="AE26" s="406" t="n">
        <f aca="false">SUM(AE22:AE25)</f>
        <v>798.465391283842</v>
      </c>
      <c r="AF26" s="406" t="n">
        <f aca="false">SUM(AF22:AF25)</f>
        <v>958.158469540611</v>
      </c>
    </row>
    <row r="27" customFormat="false" ht="12.75" hidden="false" customHeight="false" outlineLevel="0" collapsed="false">
      <c r="A27" s="39"/>
      <c r="B27" s="334"/>
      <c r="C27" s="334"/>
      <c r="D27" s="334"/>
      <c r="E27" s="334"/>
      <c r="F27" s="334"/>
      <c r="G27" s="334"/>
      <c r="H27" s="334"/>
      <c r="I27" s="334"/>
      <c r="J27" s="334"/>
      <c r="K27" s="334"/>
      <c r="L27" s="334"/>
      <c r="M27" s="334"/>
      <c r="N27" s="334"/>
      <c r="O27" s="334"/>
      <c r="P27" s="334"/>
      <c r="Q27" s="334"/>
      <c r="R27" s="334"/>
      <c r="S27" s="334"/>
      <c r="T27" s="334"/>
      <c r="U27" s="334"/>
      <c r="V27" s="334"/>
      <c r="W27" s="334"/>
      <c r="X27" s="334"/>
      <c r="Y27" s="334"/>
      <c r="Z27" s="334"/>
      <c r="AA27" s="334"/>
      <c r="AB27" s="334"/>
      <c r="AC27" s="334"/>
      <c r="AD27" s="334"/>
      <c r="AE27" s="334"/>
      <c r="AF27" s="334"/>
    </row>
    <row r="28" customFormat="false" ht="12.75" hidden="false" customHeight="false" outlineLevel="0" collapsed="false">
      <c r="A28" s="198" t="s">
        <v>429</v>
      </c>
      <c r="B28" s="334" t="n">
        <f aca="false">IF(B20&lt;0,0,B20+B25)</f>
        <v>0</v>
      </c>
      <c r="C28" s="334" t="n">
        <f aca="false">IF(C20&lt;0,0,C20+C25)</f>
        <v>0</v>
      </c>
      <c r="D28" s="334" t="n">
        <f aca="false">IF(D20&lt;0,0,D20+D25)</f>
        <v>0</v>
      </c>
      <c r="E28" s="334" t="n">
        <f aca="false">IF(E20&lt;0,0,E20+E25)</f>
        <v>0</v>
      </c>
      <c r="F28" s="334" t="n">
        <f aca="false">IF(F20&lt;0,0,F20+F25)</f>
        <v>0</v>
      </c>
      <c r="G28" s="334" t="n">
        <f aca="false">IF(G20&lt;0,0,G20+G25)</f>
        <v>0</v>
      </c>
      <c r="H28" s="334" t="n">
        <f aca="false">IF(H20&lt;0,0,H20+H25)</f>
        <v>0</v>
      </c>
      <c r="I28" s="334" t="n">
        <f aca="false">IF(I20&lt;0,0,I20+I25)</f>
        <v>0</v>
      </c>
      <c r="J28" s="334" t="n">
        <f aca="false">IF(J20&lt;0,0,J20+J25)</f>
        <v>0</v>
      </c>
      <c r="K28" s="334" t="n">
        <f aca="false">IF(K20&lt;0,0,K20+K25)</f>
        <v>0</v>
      </c>
      <c r="L28" s="334" t="n">
        <f aca="false">IF(L20&lt;0,0,L20+L25)</f>
        <v>0</v>
      </c>
      <c r="M28" s="334" t="n">
        <f aca="false">IF(M20&lt;0,0,M20+M25)</f>
        <v>0</v>
      </c>
      <c r="N28" s="334" t="n">
        <f aca="false">IF(N20&lt;0,0,N20+N25)</f>
        <v>0</v>
      </c>
      <c r="O28" s="334" t="n">
        <f aca="false">IF(O20&lt;0,0,O20+O25)</f>
        <v>0</v>
      </c>
      <c r="P28" s="334" t="n">
        <f aca="false">IF(P20&lt;0,0,P20+P25)</f>
        <v>0</v>
      </c>
      <c r="Q28" s="334" t="n">
        <f aca="false">IF(Q20&lt;0,0,Q20+Q25)</f>
        <v>0</v>
      </c>
      <c r="R28" s="334" t="n">
        <f aca="false">IF(R20&lt;0,0,R20+R25)</f>
        <v>0</v>
      </c>
      <c r="S28" s="334" t="n">
        <f aca="false">IF(S20&lt;0,0,S20+S25)</f>
        <v>0</v>
      </c>
      <c r="T28" s="334" t="n">
        <f aca="false">IF(T20&lt;0,0,T20+T25)</f>
        <v>636.663543343232</v>
      </c>
      <c r="U28" s="334" t="n">
        <f aca="false">IF(U20&lt;0,0,U20+U25)</f>
        <v>636.663543343232</v>
      </c>
      <c r="V28" s="334" t="n">
        <f aca="false">IF(V20&lt;0,0,V20+V25)</f>
        <v>639.363543343232</v>
      </c>
      <c r="W28" s="334" t="n">
        <f aca="false">IF(W20&lt;0,0,W20+W25)</f>
        <v>639.363543343232</v>
      </c>
      <c r="X28" s="334" t="n">
        <f aca="false">IF(X20&lt;0,0,X20+X25)</f>
        <v>639.363543343232</v>
      </c>
      <c r="Y28" s="334" t="n">
        <f aca="false">IF(Y20&lt;0,0,Y20+Y25)</f>
        <v>639.363543343232</v>
      </c>
      <c r="Z28" s="334" t="n">
        <f aca="false">IF(Z20&lt;0,0,Z20+Z25)</f>
        <v>639.363543343232</v>
      </c>
      <c r="AA28" s="334" t="n">
        <f aca="false">IF(AA20&lt;0,0,AA20+AA25)</f>
        <v>0</v>
      </c>
      <c r="AB28" s="334" t="n">
        <f aca="false">IF(AB20&lt;0,0,AB20+AB25)</f>
        <v>0</v>
      </c>
      <c r="AC28" s="334" t="n">
        <f aca="false">IF(AC20&lt;0,0,AC20+AC25)</f>
        <v>0</v>
      </c>
      <c r="AD28" s="334" t="n">
        <f aca="false">IF(AD20&lt;0,0,AD20+AD25)</f>
        <v>0</v>
      </c>
      <c r="AE28" s="334" t="n">
        <f aca="false">IF(AE20&lt;0,0,AE20+AE25)</f>
        <v>0</v>
      </c>
      <c r="AF28" s="334" t="n">
        <f aca="false">IF(AF20&lt;0,0,AF20+AF25)</f>
        <v>0</v>
      </c>
    </row>
    <row r="29" customFormat="false" ht="12.75" hidden="false" customHeight="false" outlineLevel="0" collapsed="false">
      <c r="A29" s="39" t="s">
        <v>430</v>
      </c>
      <c r="B29" s="649" t="n">
        <v>0</v>
      </c>
      <c r="C29" s="649" t="n">
        <v>0</v>
      </c>
      <c r="D29" s="649" t="n">
        <v>0</v>
      </c>
      <c r="E29" s="649" t="n">
        <v>0</v>
      </c>
      <c r="F29" s="649" t="n">
        <v>0</v>
      </c>
      <c r="G29" s="649" t="n">
        <v>0</v>
      </c>
      <c r="H29" s="649" t="n">
        <v>0</v>
      </c>
      <c r="I29" s="649" t="n">
        <v>0</v>
      </c>
      <c r="J29" s="649" t="n">
        <v>0</v>
      </c>
      <c r="K29" s="649" t="n">
        <v>0</v>
      </c>
      <c r="L29" s="649" t="n">
        <v>0</v>
      </c>
      <c r="M29" s="649" t="n">
        <v>0</v>
      </c>
      <c r="N29" s="649" t="n">
        <v>0</v>
      </c>
      <c r="O29" s="649" t="n">
        <v>0</v>
      </c>
      <c r="P29" s="649" t="n">
        <v>0</v>
      </c>
      <c r="Q29" s="649" t="n">
        <v>0</v>
      </c>
      <c r="R29" s="649" t="n">
        <v>0</v>
      </c>
      <c r="S29" s="649" t="n">
        <v>0</v>
      </c>
      <c r="T29" s="649" t="n">
        <v>0</v>
      </c>
      <c r="U29" s="649" t="n">
        <v>0</v>
      </c>
      <c r="V29" s="649" t="n">
        <v>0</v>
      </c>
      <c r="W29" s="649" t="n">
        <v>0</v>
      </c>
      <c r="X29" s="649" t="n">
        <v>0</v>
      </c>
      <c r="Y29" s="649" t="n">
        <v>0</v>
      </c>
      <c r="Z29" s="649" t="n">
        <v>0</v>
      </c>
      <c r="AA29" s="649" t="n">
        <v>0</v>
      </c>
      <c r="AB29" s="649" t="n">
        <v>0</v>
      </c>
      <c r="AC29" s="649" t="n">
        <v>0</v>
      </c>
      <c r="AD29" s="649" t="n">
        <v>0</v>
      </c>
      <c r="AE29" s="649" t="n">
        <v>0</v>
      </c>
      <c r="AF29" s="649" t="n">
        <v>0</v>
      </c>
    </row>
    <row r="30" customFormat="false" ht="12.75" hidden="false" customHeight="false" outlineLevel="0" collapsed="false">
      <c r="A30" s="198" t="s">
        <v>431</v>
      </c>
      <c r="B30" s="650" t="n">
        <f aca="false">SUM(B28:B29)</f>
        <v>0</v>
      </c>
      <c r="C30" s="651" t="n">
        <f aca="false">SUM(C28:C29)</f>
        <v>0</v>
      </c>
      <c r="D30" s="651" t="n">
        <f aca="false">SUM(D28:D29)</f>
        <v>0</v>
      </c>
      <c r="E30" s="651" t="n">
        <f aca="false">SUM(E28:E29)</f>
        <v>0</v>
      </c>
      <c r="F30" s="651" t="n">
        <f aca="false">SUM(F28:F29)</f>
        <v>0</v>
      </c>
      <c r="G30" s="651" t="n">
        <f aca="false">SUM(G28:G29)</f>
        <v>0</v>
      </c>
      <c r="H30" s="651" t="n">
        <f aca="false">SUM(H28:H29)</f>
        <v>0</v>
      </c>
      <c r="I30" s="651" t="n">
        <f aca="false">SUM(I28:I29)</f>
        <v>0</v>
      </c>
      <c r="J30" s="651" t="n">
        <f aca="false">SUM(J28:J29)</f>
        <v>0</v>
      </c>
      <c r="K30" s="651" t="n">
        <f aca="false">SUM(K28:K29)</f>
        <v>0</v>
      </c>
      <c r="L30" s="652" t="n">
        <f aca="false">SUM(L28:L29)</f>
        <v>0</v>
      </c>
      <c r="M30" s="650" t="n">
        <f aca="false">SUM(M28:M29)</f>
        <v>0</v>
      </c>
      <c r="N30" s="651" t="n">
        <f aca="false">SUM(N28:N29)</f>
        <v>0</v>
      </c>
      <c r="O30" s="651" t="n">
        <f aca="false">SUM(O28:O29)</f>
        <v>0</v>
      </c>
      <c r="P30" s="651" t="n">
        <f aca="false">SUM(P28:P29)</f>
        <v>0</v>
      </c>
      <c r="Q30" s="651" t="n">
        <f aca="false">SUM(Q28:Q29)</f>
        <v>0</v>
      </c>
      <c r="R30" s="651" t="n">
        <f aca="false">SUM(R28:R29)</f>
        <v>0</v>
      </c>
      <c r="S30" s="651" t="n">
        <f aca="false">SUM(S28:S29)</f>
        <v>0</v>
      </c>
      <c r="T30" s="651" t="n">
        <f aca="false">SUM(T28:T29)</f>
        <v>636.663543343232</v>
      </c>
      <c r="U30" s="651" t="n">
        <f aca="false">SUM(U28:U29)</f>
        <v>636.663543343232</v>
      </c>
      <c r="V30" s="651" t="n">
        <f aca="false">SUM(V28:V29)</f>
        <v>639.363543343232</v>
      </c>
      <c r="W30" s="651" t="n">
        <f aca="false">SUM(W28:W29)</f>
        <v>639.363543343232</v>
      </c>
      <c r="X30" s="651" t="n">
        <f aca="false">SUM(X28:X29)</f>
        <v>639.363543343232</v>
      </c>
      <c r="Y30" s="651" t="n">
        <f aca="false">SUM(Y28:Y29)</f>
        <v>639.363543343232</v>
      </c>
      <c r="Z30" s="651" t="n">
        <f aca="false">SUM(Z28:Z29)</f>
        <v>639.363543343232</v>
      </c>
      <c r="AA30" s="651" t="n">
        <f aca="false">SUM(AA28:AA29)</f>
        <v>0</v>
      </c>
      <c r="AB30" s="651" t="n">
        <f aca="false">SUM(AB28:AB29)</f>
        <v>0</v>
      </c>
      <c r="AC30" s="651" t="n">
        <f aca="false">SUM(AC28:AC29)</f>
        <v>0</v>
      </c>
      <c r="AD30" s="651" t="n">
        <f aca="false">SUM(AD28:AD29)</f>
        <v>0</v>
      </c>
      <c r="AE30" s="651" t="n">
        <f aca="false">SUM(AE28:AE29)</f>
        <v>0</v>
      </c>
      <c r="AF30" s="651" t="n">
        <f aca="false">SUM(AF28:AF29)</f>
        <v>0</v>
      </c>
    </row>
    <row r="31" customFormat="false" ht="12.75" hidden="false" customHeight="false" outlineLevel="0" collapsed="false">
      <c r="A31" s="198"/>
      <c r="B31" s="405"/>
      <c r="C31" s="405"/>
      <c r="D31" s="405"/>
      <c r="E31" s="405"/>
      <c r="F31" s="405"/>
      <c r="G31" s="405"/>
      <c r="H31" s="405"/>
      <c r="I31" s="405"/>
      <c r="J31" s="405"/>
      <c r="K31" s="405"/>
      <c r="L31" s="405"/>
      <c r="M31" s="405"/>
      <c r="N31" s="405"/>
      <c r="O31" s="405"/>
      <c r="P31" s="405"/>
      <c r="Q31" s="405"/>
      <c r="R31" s="405"/>
      <c r="S31" s="405"/>
      <c r="T31" s="405"/>
      <c r="U31" s="405"/>
      <c r="V31" s="405"/>
      <c r="W31" s="405"/>
      <c r="X31" s="405"/>
      <c r="Y31" s="405"/>
      <c r="Z31" s="405"/>
      <c r="AA31" s="405"/>
      <c r="AB31" s="405"/>
      <c r="AC31" s="405"/>
      <c r="AD31" s="405"/>
      <c r="AE31" s="405"/>
      <c r="AF31" s="405"/>
    </row>
    <row r="32" customFormat="false" ht="12.75" hidden="false" customHeight="false" outlineLevel="0" collapsed="false">
      <c r="A32" s="616"/>
      <c r="B32" s="334"/>
      <c r="C32" s="334"/>
      <c r="D32" s="334"/>
      <c r="E32" s="334"/>
      <c r="F32" s="334"/>
      <c r="G32" s="334"/>
      <c r="H32" s="334"/>
      <c r="I32" s="334"/>
      <c r="J32" s="334"/>
      <c r="K32" s="334"/>
      <c r="L32" s="334"/>
      <c r="M32" s="334"/>
      <c r="N32" s="334"/>
      <c r="O32" s="334"/>
      <c r="P32" s="334"/>
      <c r="Q32" s="334"/>
      <c r="R32" s="334"/>
      <c r="S32" s="334"/>
      <c r="T32" s="334"/>
      <c r="U32" s="334"/>
      <c r="V32" s="334"/>
      <c r="W32" s="334"/>
      <c r="X32" s="334"/>
      <c r="Y32" s="334"/>
      <c r="Z32" s="334"/>
      <c r="AA32" s="334"/>
      <c r="AB32" s="334"/>
      <c r="AC32" s="334"/>
      <c r="AD32" s="334"/>
      <c r="AE32" s="334"/>
      <c r="AF32" s="334"/>
    </row>
    <row r="33" customFormat="false" ht="12.75" hidden="false" customHeight="false" outlineLevel="0" collapsed="false">
      <c r="A33" s="644" t="s">
        <v>432</v>
      </c>
      <c r="B33" s="334"/>
      <c r="C33" s="334"/>
      <c r="D33" s="334"/>
      <c r="E33" s="334"/>
      <c r="F33" s="334"/>
      <c r="G33" s="334"/>
      <c r="H33" s="334"/>
      <c r="I33" s="334"/>
      <c r="J33" s="334"/>
      <c r="K33" s="334"/>
      <c r="L33" s="334"/>
      <c r="M33" s="334"/>
      <c r="N33" s="334"/>
      <c r="O33" s="334"/>
      <c r="P33" s="334"/>
      <c r="Q33" s="334"/>
      <c r="R33" s="334"/>
      <c r="S33" s="334"/>
      <c r="T33" s="334"/>
      <c r="U33" s="334"/>
      <c r="V33" s="334"/>
      <c r="W33" s="334"/>
      <c r="X33" s="334"/>
      <c r="Y33" s="334"/>
      <c r="Z33" s="334"/>
      <c r="AA33" s="334"/>
      <c r="AB33" s="334"/>
      <c r="AC33" s="334"/>
      <c r="AD33" s="334"/>
      <c r="AE33" s="334"/>
      <c r="AF33" s="334"/>
    </row>
    <row r="34" customFormat="false" ht="12.75" hidden="false" customHeight="false" outlineLevel="0" collapsed="false">
      <c r="A34" s="616" t="s">
        <v>418</v>
      </c>
      <c r="B34" s="334" t="n">
        <f aca="false">B13</f>
        <v>2265.54277176038</v>
      </c>
      <c r="C34" s="334" t="n">
        <f aca="false">C13</f>
        <v>-1698.92497025119</v>
      </c>
      <c r="D34" s="334" t="n">
        <f aca="false">D13</f>
        <v>-1507.60932253415</v>
      </c>
      <c r="E34" s="334" t="n">
        <f aca="false">E13</f>
        <v>-1301.020425803</v>
      </c>
      <c r="F34" s="334" t="n">
        <f aca="false">F13</f>
        <v>-1077.93897500754</v>
      </c>
      <c r="G34" s="334" t="n">
        <f aca="false">G13</f>
        <v>-837.048324655828</v>
      </c>
      <c r="H34" s="334" t="n">
        <f aca="false">H13</f>
        <v>-576.926717861742</v>
      </c>
      <c r="I34" s="334" t="n">
        <f aca="false">I13</f>
        <v>-296.038895016209</v>
      </c>
      <c r="J34" s="334" t="n">
        <f aca="false">J13</f>
        <v>7.27296744418072</v>
      </c>
      <c r="K34" s="334" t="n">
        <f aca="false">K13</f>
        <v>334.799041651329</v>
      </c>
      <c r="L34" s="334" t="n">
        <f aca="false">L13</f>
        <v>688.47241405217</v>
      </c>
      <c r="M34" s="334" t="n">
        <f aca="false">M13</f>
        <v>1070.38049464753</v>
      </c>
      <c r="N34" s="334" t="n">
        <f aca="false">N13</f>
        <v>1482.77733706156</v>
      </c>
      <c r="O34" s="334" t="n">
        <f aca="false">O13</f>
        <v>1928.09694215591</v>
      </c>
      <c r="P34" s="334" t="n">
        <f aca="false">P13</f>
        <v>2408.96762370757</v>
      </c>
      <c r="Q34" s="334" t="n">
        <f aca="false">Q13</f>
        <v>2928.22752093792</v>
      </c>
      <c r="R34" s="334" t="n">
        <f aca="false">R13</f>
        <v>3488.94134944925</v>
      </c>
      <c r="S34" s="334" t="n">
        <f aca="false">S13</f>
        <v>4094.41848943403</v>
      </c>
      <c r="T34" s="334" t="n">
        <f aca="false">T13</f>
        <v>4280.26994796146</v>
      </c>
      <c r="U34" s="334" t="n">
        <f aca="false">U13</f>
        <v>4280.26994796146</v>
      </c>
      <c r="V34" s="334" t="n">
        <f aca="false">V13</f>
        <v>4325.26994796146</v>
      </c>
      <c r="W34" s="334" t="n">
        <f aca="false">W13</f>
        <v>4325.26994796146</v>
      </c>
      <c r="X34" s="334" t="n">
        <f aca="false">X13</f>
        <v>4325.26994796146</v>
      </c>
      <c r="Y34" s="334" t="n">
        <f aca="false">Y13</f>
        <v>4325.26994796146</v>
      </c>
      <c r="Z34" s="334" t="n">
        <f aca="false">Z13</f>
        <v>4325.26994796146</v>
      </c>
      <c r="AA34" s="334" t="n">
        <f aca="false">AA13</f>
        <v>-8992.34041203854</v>
      </c>
      <c r="AB34" s="334" t="n">
        <f aca="false">AB13</f>
        <v>-8992.34041203854</v>
      </c>
      <c r="AC34" s="334" t="n">
        <f aca="false">AC13</f>
        <v>-8992.34041203854</v>
      </c>
      <c r="AD34" s="334" t="n">
        <f aca="false">AD13</f>
        <v>-8992.34041203854</v>
      </c>
      <c r="AE34" s="334" t="n">
        <f aca="false">AE13</f>
        <v>-8992.34041203854</v>
      </c>
      <c r="AF34" s="334" t="n">
        <f aca="false">AF13</f>
        <v>-2661.55130427948</v>
      </c>
    </row>
    <row r="35" customFormat="false" ht="12.75" hidden="false" customHeight="false" outlineLevel="0" collapsed="false">
      <c r="A35" s="616" t="s">
        <v>419</v>
      </c>
      <c r="B35" s="334" t="n">
        <f aca="false">B14</f>
        <v>2851.47496309262</v>
      </c>
      <c r="C35" s="334" t="n">
        <f aca="false">C14</f>
        <v>6375.78910775906</v>
      </c>
      <c r="D35" s="334" t="n">
        <f aca="false">D14</f>
        <v>6375.78910775906</v>
      </c>
      <c r="E35" s="334" t="n">
        <f aca="false">E14</f>
        <v>6375.78910775906</v>
      </c>
      <c r="F35" s="334" t="n">
        <f aca="false">F14</f>
        <v>6375.78910775906</v>
      </c>
      <c r="G35" s="334" t="n">
        <f aca="false">G14</f>
        <v>6375.78910775906</v>
      </c>
      <c r="H35" s="334" t="n">
        <f aca="false">H14</f>
        <v>6375.78910775906</v>
      </c>
      <c r="I35" s="334" t="n">
        <f aca="false">I14</f>
        <v>6375.78910775906</v>
      </c>
      <c r="J35" s="334" t="n">
        <f aca="false">J14</f>
        <v>6375.78910775906</v>
      </c>
      <c r="K35" s="334" t="n">
        <f aca="false">K14</f>
        <v>6375.78910775906</v>
      </c>
      <c r="L35" s="334" t="n">
        <f aca="false">L14</f>
        <v>6375.78910775906</v>
      </c>
      <c r="M35" s="334" t="n">
        <f aca="false">M14</f>
        <v>6375.78910775906</v>
      </c>
      <c r="N35" s="334" t="n">
        <f aca="false">N14</f>
        <v>6375.78910775906</v>
      </c>
      <c r="O35" s="334" t="n">
        <f aca="false">O14</f>
        <v>6375.78910775906</v>
      </c>
      <c r="P35" s="334" t="n">
        <f aca="false">P14</f>
        <v>6375.78910775906</v>
      </c>
      <c r="Q35" s="334" t="n">
        <f aca="false">Q14</f>
        <v>6375.78910775906</v>
      </c>
      <c r="R35" s="334" t="n">
        <f aca="false">R14</f>
        <v>6375.78910775906</v>
      </c>
      <c r="S35" s="334" t="n">
        <f aca="false">S14</f>
        <v>6375.78910775906</v>
      </c>
      <c r="T35" s="334" t="n">
        <f aca="false">T14</f>
        <v>6375.78910775906</v>
      </c>
      <c r="U35" s="334" t="n">
        <f aca="false">U14</f>
        <v>6375.78910775906</v>
      </c>
      <c r="V35" s="334" t="n">
        <f aca="false">V14</f>
        <v>6330.78910775906</v>
      </c>
      <c r="W35" s="334" t="n">
        <f aca="false">W14</f>
        <v>6330.78910775906</v>
      </c>
      <c r="X35" s="334" t="n">
        <f aca="false">X14</f>
        <v>6330.78910775906</v>
      </c>
      <c r="Y35" s="334" t="n">
        <f aca="false">Y14</f>
        <v>6330.78910775906</v>
      </c>
      <c r="Z35" s="334" t="n">
        <f aca="false">Z14</f>
        <v>6330.78910775906</v>
      </c>
      <c r="AA35" s="334" t="n">
        <f aca="false">AA14</f>
        <v>6330.78910775906</v>
      </c>
      <c r="AB35" s="334" t="n">
        <f aca="false">AB14</f>
        <v>6330.78910775906</v>
      </c>
      <c r="AC35" s="334" t="n">
        <f aca="false">AC14</f>
        <v>6330.78910775906</v>
      </c>
      <c r="AD35" s="334" t="n">
        <f aca="false">AD14</f>
        <v>6330.78910775906</v>
      </c>
      <c r="AE35" s="334" t="n">
        <f aca="false">AE14</f>
        <v>6330.78910775906</v>
      </c>
      <c r="AF35" s="334" t="n">
        <f aca="false">AF14</f>
        <v>0</v>
      </c>
    </row>
    <row r="36" customFormat="false" ht="12.75" hidden="false" customHeight="false" outlineLevel="0" collapsed="false">
      <c r="A36" s="616" t="s">
        <v>433</v>
      </c>
      <c r="B36" s="334" t="n">
        <f aca="false">-Depreciation!D19</f>
        <v>-6360.87129953989</v>
      </c>
      <c r="C36" s="334" t="n">
        <f aca="false">-Depreciation!E19</f>
        <v>-12073.4993047422</v>
      </c>
      <c r="D36" s="334" t="n">
        <f aca="false">-Depreciation!F19</f>
        <v>-10870.649374268</v>
      </c>
      <c r="E36" s="334" t="n">
        <f aca="false">-Depreciation!G19</f>
        <v>-9794.41522594896</v>
      </c>
      <c r="F36" s="334" t="n">
        <f aca="false">-Depreciation!H19</f>
        <v>-8819.47370335406</v>
      </c>
      <c r="G36" s="334" t="n">
        <f aca="false">-Depreciation!I19</f>
        <v>-7933.16322826779</v>
      </c>
      <c r="H36" s="334" t="n">
        <f aca="false">-Depreciation!J19</f>
        <v>-7515.33114715569</v>
      </c>
      <c r="I36" s="334" t="n">
        <f aca="false">-Depreciation!K19</f>
        <v>-7527.99272537121</v>
      </c>
      <c r="J36" s="334" t="n">
        <f aca="false">-Depreciation!L19</f>
        <v>-7515.33114715569</v>
      </c>
      <c r="K36" s="334" t="n">
        <f aca="false">-Depreciation!M19</f>
        <v>-7527.99272537121</v>
      </c>
      <c r="L36" s="334" t="n">
        <f aca="false">-Depreciation!N19</f>
        <v>-7515.33114715569</v>
      </c>
      <c r="M36" s="334" t="n">
        <f aca="false">-Depreciation!O19</f>
        <v>-7527.99272537121</v>
      </c>
      <c r="N36" s="334" t="n">
        <f aca="false">-Depreciation!P19</f>
        <v>-7515.33114715569</v>
      </c>
      <c r="O36" s="334" t="n">
        <f aca="false">-Depreciation!Q19</f>
        <v>-7527.99272537121</v>
      </c>
      <c r="P36" s="334" t="n">
        <f aca="false">-Depreciation!R19</f>
        <v>-7515.33114715569</v>
      </c>
      <c r="Q36" s="334" t="n">
        <f aca="false">-Depreciation!S19</f>
        <v>-3780.16557357785</v>
      </c>
      <c r="R36" s="334" t="n">
        <f aca="false">-Depreciation!T19</f>
        <v>-45</v>
      </c>
      <c r="S36" s="334" t="n">
        <f aca="false">-Depreciation!U19</f>
        <v>-45</v>
      </c>
      <c r="T36" s="334" t="n">
        <f aca="false">-Depreciation!V19</f>
        <v>-45</v>
      </c>
      <c r="U36" s="334" t="n">
        <f aca="false">-Depreciation!W19</f>
        <v>-45</v>
      </c>
      <c r="V36" s="334" t="n">
        <f aca="false">-Depreciation!X19</f>
        <v>-0</v>
      </c>
      <c r="W36" s="334" t="n">
        <f aca="false">-Depreciation!Y19</f>
        <v>-0</v>
      </c>
      <c r="X36" s="334" t="n">
        <f aca="false">-Depreciation!Z19</f>
        <v>-0</v>
      </c>
      <c r="Y36" s="334" t="n">
        <f aca="false">-Depreciation!AA19</f>
        <v>-0</v>
      </c>
      <c r="Z36" s="334" t="n">
        <f aca="false">-Depreciation!AB19</f>
        <v>-0</v>
      </c>
      <c r="AA36" s="334" t="n">
        <f aca="false">-Depreciation!AC19</f>
        <v>-0</v>
      </c>
      <c r="AB36" s="334" t="n">
        <f aca="false">-Depreciation!AD19</f>
        <v>-0</v>
      </c>
      <c r="AC36" s="334" t="n">
        <f aca="false">-Depreciation!AE19</f>
        <v>-0</v>
      </c>
      <c r="AD36" s="334" t="n">
        <f aca="false">-Depreciation!AF19</f>
        <v>-0</v>
      </c>
      <c r="AE36" s="334" t="n">
        <f aca="false">-Depreciation!AG19</f>
        <v>-0</v>
      </c>
      <c r="AF36" s="334" t="n">
        <f aca="false">-Depreciation!AH19</f>
        <v>-0</v>
      </c>
    </row>
    <row r="37" customFormat="false" ht="15" hidden="false" customHeight="false" outlineLevel="0" collapsed="false">
      <c r="A37" s="616" t="s">
        <v>434</v>
      </c>
      <c r="B37" s="406" t="n">
        <f aca="false">-B30</f>
        <v>-0</v>
      </c>
      <c r="C37" s="406" t="n">
        <f aca="false">-C30</f>
        <v>-0</v>
      </c>
      <c r="D37" s="406" t="n">
        <f aca="false">-D30</f>
        <v>-0</v>
      </c>
      <c r="E37" s="406" t="n">
        <f aca="false">-E30</f>
        <v>-0</v>
      </c>
      <c r="F37" s="406" t="n">
        <f aca="false">-F30</f>
        <v>-0</v>
      </c>
      <c r="G37" s="406" t="n">
        <f aca="false">-G30</f>
        <v>-0</v>
      </c>
      <c r="H37" s="406" t="n">
        <f aca="false">-H30</f>
        <v>-0</v>
      </c>
      <c r="I37" s="406" t="n">
        <f aca="false">-I30</f>
        <v>-0</v>
      </c>
      <c r="J37" s="406" t="n">
        <f aca="false">-J30</f>
        <v>-0</v>
      </c>
      <c r="K37" s="406" t="n">
        <f aca="false">-K30</f>
        <v>-0</v>
      </c>
      <c r="L37" s="406" t="n">
        <f aca="false">-L30</f>
        <v>-0</v>
      </c>
      <c r="M37" s="406" t="n">
        <f aca="false">-M30</f>
        <v>-0</v>
      </c>
      <c r="N37" s="406" t="n">
        <f aca="false">-N30</f>
        <v>-0</v>
      </c>
      <c r="O37" s="406" t="n">
        <f aca="false">-O30</f>
        <v>-0</v>
      </c>
      <c r="P37" s="406" t="n">
        <f aca="false">-P30</f>
        <v>-0</v>
      </c>
      <c r="Q37" s="406" t="n">
        <f aca="false">-Q30</f>
        <v>-0</v>
      </c>
      <c r="R37" s="406" t="n">
        <f aca="false">-R30</f>
        <v>-0</v>
      </c>
      <c r="S37" s="406" t="n">
        <f aca="false">-S30</f>
        <v>-0</v>
      </c>
      <c r="T37" s="406" t="n">
        <f aca="false">-T30</f>
        <v>-636.663543343232</v>
      </c>
      <c r="U37" s="406" t="n">
        <f aca="false">-U30</f>
        <v>-636.663543343232</v>
      </c>
      <c r="V37" s="406" t="n">
        <f aca="false">-V30</f>
        <v>-639.363543343232</v>
      </c>
      <c r="W37" s="406" t="n">
        <f aca="false">-W30</f>
        <v>-639.363543343232</v>
      </c>
      <c r="X37" s="406" t="n">
        <f aca="false">-X30</f>
        <v>-639.363543343232</v>
      </c>
      <c r="Y37" s="406" t="n">
        <f aca="false">-Y30</f>
        <v>-639.363543343232</v>
      </c>
      <c r="Z37" s="406" t="n">
        <f aca="false">-Z30</f>
        <v>-639.363543343232</v>
      </c>
      <c r="AA37" s="406" t="n">
        <f aca="false">-AA30</f>
        <v>-0</v>
      </c>
      <c r="AB37" s="406" t="n">
        <f aca="false">-AB30</f>
        <v>-0</v>
      </c>
      <c r="AC37" s="406" t="n">
        <f aca="false">-AC30</f>
        <v>-0</v>
      </c>
      <c r="AD37" s="406" t="n">
        <f aca="false">-AD30</f>
        <v>-0</v>
      </c>
      <c r="AE37" s="406" t="n">
        <f aca="false">-AE30</f>
        <v>-0</v>
      </c>
      <c r="AF37" s="406" t="n">
        <f aca="false">-AF30</f>
        <v>-0</v>
      </c>
    </row>
    <row r="38" customFormat="false" ht="12.75" hidden="false" customHeight="false" outlineLevel="0" collapsed="false">
      <c r="A38" s="646" t="s">
        <v>435</v>
      </c>
      <c r="B38" s="405" t="n">
        <f aca="false">SUM(B34:B37)</f>
        <v>-1243.85356468688</v>
      </c>
      <c r="C38" s="405" t="n">
        <f aca="false">SUM(C34:C37)</f>
        <v>-7396.63516723435</v>
      </c>
      <c r="D38" s="405" t="n">
        <f aca="false">SUM(D34:D37)</f>
        <v>-6002.46958904308</v>
      </c>
      <c r="E38" s="405" t="n">
        <f aca="false">SUM(E34:E37)</f>
        <v>-4719.6465439929</v>
      </c>
      <c r="F38" s="405" t="n">
        <f aca="false">SUM(F34:F37)</f>
        <v>-3521.62357060254</v>
      </c>
      <c r="G38" s="405" t="n">
        <f aca="false">SUM(G34:G37)</f>
        <v>-2394.42244516456</v>
      </c>
      <c r="H38" s="405" t="n">
        <f aca="false">SUM(H34:H37)</f>
        <v>-1716.46875725837</v>
      </c>
      <c r="I38" s="405" t="n">
        <f aca="false">SUM(I34:I37)</f>
        <v>-1448.24251262836</v>
      </c>
      <c r="J38" s="405" t="n">
        <f aca="false">SUM(J34:J37)</f>
        <v>-1132.26907195245</v>
      </c>
      <c r="K38" s="405" t="n">
        <f aca="false">SUM(K34:K37)</f>
        <v>-817.404575960821</v>
      </c>
      <c r="L38" s="405" t="n">
        <f aca="false">SUM(L34:L37)</f>
        <v>-451.06962534446</v>
      </c>
      <c r="M38" s="405" t="n">
        <f aca="false">SUM(M34:M37)</f>
        <v>-81.8231229646217</v>
      </c>
      <c r="N38" s="405" t="n">
        <f aca="false">SUM(N34:N37)</f>
        <v>343.235297664931</v>
      </c>
      <c r="O38" s="405" t="n">
        <f aca="false">SUM(O34:O37)</f>
        <v>775.893324543761</v>
      </c>
      <c r="P38" s="405" t="n">
        <f aca="false">SUM(P34:P37)</f>
        <v>1269.42558431094</v>
      </c>
      <c r="Q38" s="405" t="n">
        <f aca="false">SUM(Q34:Q37)</f>
        <v>5523.85105511914</v>
      </c>
      <c r="R38" s="405" t="n">
        <f aca="false">SUM(R34:R37)</f>
        <v>9819.73045720831</v>
      </c>
      <c r="S38" s="405" t="n">
        <f aca="false">SUM(S34:S37)</f>
        <v>10425.2075971931</v>
      </c>
      <c r="T38" s="405" t="n">
        <f aca="false">SUM(T34:T37)</f>
        <v>9974.39551237729</v>
      </c>
      <c r="U38" s="405" t="n">
        <f aca="false">SUM(U34:U37)</f>
        <v>9974.39551237729</v>
      </c>
      <c r="V38" s="405" t="n">
        <f aca="false">SUM(V34:V37)</f>
        <v>10016.6955123773</v>
      </c>
      <c r="W38" s="405" t="n">
        <f aca="false">SUM(W34:W37)</f>
        <v>10016.6955123773</v>
      </c>
      <c r="X38" s="405" t="n">
        <f aca="false">SUM(X34:X37)</f>
        <v>10016.6955123773</v>
      </c>
      <c r="Y38" s="405" t="n">
        <f aca="false">SUM(Y34:Y37)</f>
        <v>10016.6955123773</v>
      </c>
      <c r="Z38" s="405" t="n">
        <f aca="false">SUM(Z34:Z37)</f>
        <v>10016.6955123773</v>
      </c>
      <c r="AA38" s="405" t="n">
        <f aca="false">SUM(AA34:AA37)</f>
        <v>-2661.55130427947</v>
      </c>
      <c r="AB38" s="405" t="n">
        <f aca="false">SUM(AB34:AB37)</f>
        <v>-2661.55130427947</v>
      </c>
      <c r="AC38" s="405" t="n">
        <f aca="false">SUM(AC34:AC37)</f>
        <v>-2661.55130427947</v>
      </c>
      <c r="AD38" s="405" t="n">
        <f aca="false">SUM(AD34:AD37)</f>
        <v>-2661.55130427947</v>
      </c>
      <c r="AE38" s="405" t="n">
        <f aca="false">SUM(AE34:AE37)</f>
        <v>-2661.55130427947</v>
      </c>
      <c r="AF38" s="405" t="n">
        <f aca="false">SUM(AF34:AF37)</f>
        <v>-2661.55130427948</v>
      </c>
    </row>
    <row r="39" customFormat="false" ht="12.75" hidden="false" customHeight="false" outlineLevel="0" collapsed="false">
      <c r="A39" s="646"/>
      <c r="B39" s="405"/>
      <c r="C39" s="405"/>
      <c r="D39" s="405"/>
      <c r="E39" s="405"/>
      <c r="F39" s="405"/>
      <c r="G39" s="405"/>
      <c r="H39" s="405"/>
      <c r="I39" s="405"/>
      <c r="J39" s="405"/>
      <c r="K39" s="405"/>
      <c r="L39" s="405"/>
      <c r="M39" s="405"/>
      <c r="N39" s="405"/>
      <c r="O39" s="405"/>
      <c r="P39" s="405"/>
      <c r="Q39" s="405"/>
      <c r="R39" s="405"/>
      <c r="S39" s="405"/>
      <c r="T39" s="405"/>
      <c r="U39" s="405"/>
      <c r="V39" s="405"/>
      <c r="W39" s="405"/>
      <c r="X39" s="405"/>
      <c r="Y39" s="405"/>
      <c r="Z39" s="405"/>
      <c r="AA39" s="405"/>
      <c r="AB39" s="405"/>
      <c r="AC39" s="405"/>
      <c r="AD39" s="405"/>
      <c r="AE39" s="405"/>
      <c r="AF39" s="405"/>
    </row>
    <row r="40" customFormat="false" ht="12.75" hidden="false" customHeight="false" outlineLevel="0" collapsed="false">
      <c r="A40" s="616" t="s">
        <v>436</v>
      </c>
      <c r="B40" s="653" t="n">
        <f aca="false">Assumptions!$Q$55</f>
        <v>0.35</v>
      </c>
      <c r="C40" s="653" t="n">
        <f aca="false">Assumptions!$Q$55</f>
        <v>0.35</v>
      </c>
      <c r="D40" s="653" t="n">
        <f aca="false">Assumptions!$Q$55</f>
        <v>0.35</v>
      </c>
      <c r="E40" s="653" t="n">
        <f aca="false">Assumptions!$Q$55</f>
        <v>0.35</v>
      </c>
      <c r="F40" s="653" t="n">
        <f aca="false">Assumptions!$Q$55</f>
        <v>0.35</v>
      </c>
      <c r="G40" s="653" t="n">
        <f aca="false">Assumptions!$Q$55</f>
        <v>0.35</v>
      </c>
      <c r="H40" s="653" t="n">
        <f aca="false">Assumptions!$Q$55</f>
        <v>0.35</v>
      </c>
      <c r="I40" s="653" t="n">
        <f aca="false">Assumptions!$Q$55</f>
        <v>0.35</v>
      </c>
      <c r="J40" s="653" t="n">
        <f aca="false">Assumptions!$Q$55</f>
        <v>0.35</v>
      </c>
      <c r="K40" s="653" t="n">
        <f aca="false">Assumptions!$Q$55</f>
        <v>0.35</v>
      </c>
      <c r="L40" s="653" t="n">
        <f aca="false">Assumptions!$Q$55</f>
        <v>0.35</v>
      </c>
      <c r="M40" s="653" t="n">
        <f aca="false">Assumptions!$Q$55</f>
        <v>0.35</v>
      </c>
      <c r="N40" s="653" t="n">
        <f aca="false">Assumptions!$Q$55</f>
        <v>0.35</v>
      </c>
      <c r="O40" s="653" t="n">
        <f aca="false">Assumptions!$Q$55</f>
        <v>0.35</v>
      </c>
      <c r="P40" s="653" t="n">
        <f aca="false">Assumptions!$Q$55</f>
        <v>0.35</v>
      </c>
      <c r="Q40" s="653" t="n">
        <f aca="false">Assumptions!$Q$55</f>
        <v>0.35</v>
      </c>
      <c r="R40" s="653" t="n">
        <f aca="false">Assumptions!$Q$55</f>
        <v>0.35</v>
      </c>
      <c r="S40" s="653" t="n">
        <f aca="false">Assumptions!$Q$55</f>
        <v>0.35</v>
      </c>
      <c r="T40" s="653" t="n">
        <f aca="false">Assumptions!$Q$55</f>
        <v>0.35</v>
      </c>
      <c r="U40" s="653" t="n">
        <f aca="false">Assumptions!$Q$55</f>
        <v>0.35</v>
      </c>
      <c r="V40" s="653" t="n">
        <f aca="false">Assumptions!$Q$55</f>
        <v>0.35</v>
      </c>
      <c r="W40" s="653" t="n">
        <f aca="false">Assumptions!$Q$55</f>
        <v>0.35</v>
      </c>
      <c r="X40" s="653" t="n">
        <f aca="false">Assumptions!$Q$55</f>
        <v>0.35</v>
      </c>
      <c r="Y40" s="653" t="n">
        <f aca="false">Assumptions!$Q$55</f>
        <v>0.35</v>
      </c>
      <c r="Z40" s="653" t="n">
        <f aca="false">Assumptions!$Q$55</f>
        <v>0.35</v>
      </c>
      <c r="AA40" s="653" t="n">
        <f aca="false">Assumptions!$Q$55</f>
        <v>0.35</v>
      </c>
      <c r="AB40" s="653" t="n">
        <f aca="false">Assumptions!$Q$55</f>
        <v>0.35</v>
      </c>
      <c r="AC40" s="653" t="n">
        <f aca="false">Assumptions!$Q$55</f>
        <v>0.35</v>
      </c>
      <c r="AD40" s="653" t="n">
        <f aca="false">Assumptions!$Q$55</f>
        <v>0.35</v>
      </c>
      <c r="AE40" s="653" t="n">
        <f aca="false">Assumptions!$Q$55</f>
        <v>0.35</v>
      </c>
      <c r="AF40" s="653" t="n">
        <f aca="false">Assumptions!$Q$55</f>
        <v>0.35</v>
      </c>
    </row>
    <row r="41" customFormat="false" ht="12.75" hidden="false" customHeight="false" outlineLevel="0" collapsed="false">
      <c r="A41" s="616" t="s">
        <v>437</v>
      </c>
      <c r="B41" s="654" t="n">
        <f aca="false">B38*B40</f>
        <v>-435.348747640408</v>
      </c>
      <c r="C41" s="655" t="n">
        <f aca="false">C38*C40</f>
        <v>-2588.82230853202</v>
      </c>
      <c r="D41" s="655" t="n">
        <f aca="false">D38*D40</f>
        <v>-2100.86435616508</v>
      </c>
      <c r="E41" s="655" t="n">
        <f aca="false">E38*E40</f>
        <v>-1651.87629039751</v>
      </c>
      <c r="F41" s="655" t="n">
        <f aca="false">F38*F40</f>
        <v>-1232.56824971089</v>
      </c>
      <c r="G41" s="655" t="n">
        <f aca="false">G38*G40</f>
        <v>-838.047855807595</v>
      </c>
      <c r="H41" s="655" t="n">
        <f aca="false">H38*H40</f>
        <v>-600.76406504043</v>
      </c>
      <c r="I41" s="655" t="n">
        <f aca="false">I38*I40</f>
        <v>-506.884879419925</v>
      </c>
      <c r="J41" s="655" t="n">
        <f aca="false">J38*J40</f>
        <v>-396.294175183357</v>
      </c>
      <c r="K41" s="655" t="n">
        <f aca="false">K38*K40</f>
        <v>-286.091601586287</v>
      </c>
      <c r="L41" s="656" t="n">
        <f aca="false">L38*L40</f>
        <v>-157.874368870561</v>
      </c>
      <c r="M41" s="654" t="n">
        <f aca="false">M38*M40</f>
        <v>-28.6380930376176</v>
      </c>
      <c r="N41" s="655" t="n">
        <f aca="false">N38*N40</f>
        <v>120.132354182726</v>
      </c>
      <c r="O41" s="655" t="n">
        <f aca="false">O38*O40</f>
        <v>271.562663590316</v>
      </c>
      <c r="P41" s="655" t="n">
        <f aca="false">P38*P40</f>
        <v>444.298954508828</v>
      </c>
      <c r="Q41" s="655" t="n">
        <f aca="false">Q38*Q40</f>
        <v>1933.3478692917</v>
      </c>
      <c r="R41" s="655" t="n">
        <f aca="false">R38*R40</f>
        <v>3436.90566002291</v>
      </c>
      <c r="S41" s="655" t="n">
        <f aca="false">S38*S40</f>
        <v>3648.82265901758</v>
      </c>
      <c r="T41" s="655" t="n">
        <f aca="false">T38*T40</f>
        <v>3491.03842933205</v>
      </c>
      <c r="U41" s="655" t="n">
        <f aca="false">U38*U40</f>
        <v>3491.03842933205</v>
      </c>
      <c r="V41" s="655" t="n">
        <f aca="false">V38*V40</f>
        <v>3505.84342933205</v>
      </c>
      <c r="W41" s="655" t="n">
        <f aca="false">W38*W40</f>
        <v>3505.84342933205</v>
      </c>
      <c r="X41" s="655" t="n">
        <f aca="false">X38*X40</f>
        <v>3505.84342933205</v>
      </c>
      <c r="Y41" s="655" t="n">
        <f aca="false">Y38*Y40</f>
        <v>3505.84342933205</v>
      </c>
      <c r="Z41" s="655" t="n">
        <f aca="false">Z38*Z40</f>
        <v>3505.84342933205</v>
      </c>
      <c r="AA41" s="655" t="n">
        <f aca="false">AA38*AA40</f>
        <v>-931.542956497816</v>
      </c>
      <c r="AB41" s="655" t="n">
        <f aca="false">AB38*AB40</f>
        <v>-931.542956497816</v>
      </c>
      <c r="AC41" s="655" t="n">
        <f aca="false">AC38*AC40</f>
        <v>-931.542956497816</v>
      </c>
      <c r="AD41" s="655" t="n">
        <f aca="false">AD38*AD40</f>
        <v>-931.542956497816</v>
      </c>
      <c r="AE41" s="655" t="n">
        <f aca="false">AE38*AE40</f>
        <v>-931.542956497816</v>
      </c>
      <c r="AF41" s="655" t="n">
        <f aca="false">AF38*AF40</f>
        <v>-931.542956497816</v>
      </c>
    </row>
    <row r="42" customFormat="false" ht="12.75" hidden="false" customHeight="false" outlineLevel="0" collapsed="false">
      <c r="A42" s="39"/>
      <c r="B42" s="334"/>
      <c r="C42" s="334"/>
      <c r="D42" s="334"/>
      <c r="E42" s="334"/>
      <c r="F42" s="334"/>
      <c r="G42" s="334"/>
      <c r="H42" s="334"/>
      <c r="I42" s="334"/>
      <c r="J42" s="334"/>
      <c r="K42" s="334"/>
      <c r="L42" s="334"/>
      <c r="M42" s="334"/>
      <c r="N42" s="334"/>
      <c r="O42" s="334"/>
      <c r="P42" s="334"/>
      <c r="Q42" s="334"/>
      <c r="R42" s="334"/>
      <c r="S42" s="334"/>
      <c r="T42" s="334"/>
      <c r="U42" s="334"/>
      <c r="V42" s="334"/>
      <c r="W42" s="334"/>
      <c r="X42" s="334"/>
      <c r="Y42" s="334"/>
      <c r="Z42" s="334"/>
      <c r="AA42" s="334"/>
      <c r="AB42" s="334"/>
      <c r="AC42" s="334"/>
      <c r="AD42" s="334"/>
      <c r="AE42" s="334"/>
      <c r="AF42" s="334"/>
    </row>
    <row r="43" customFormat="false" ht="12.75" hidden="false" customHeight="false" outlineLevel="0" collapsed="false">
      <c r="A43" s="39" t="s">
        <v>438</v>
      </c>
      <c r="B43" s="334" t="n">
        <f aca="false">IF(B41&lt;0,-B41+B44,0)</f>
        <v>435.348747640408</v>
      </c>
      <c r="C43" s="334" t="n">
        <f aca="false">IF(C41&lt;0,-C41+B43-B44,B43-B44)</f>
        <v>3024.17105617243</v>
      </c>
      <c r="D43" s="334" t="n">
        <f aca="false">IF(D41&lt;0,-D41+C43-C44,C43-C44)</f>
        <v>5125.03541233751</v>
      </c>
      <c r="E43" s="334" t="n">
        <f aca="false">IF(E41&lt;0,-E41+D43-D44,D43-D44)</f>
        <v>6776.91170273502</v>
      </c>
      <c r="F43" s="334" t="n">
        <f aca="false">IF(F41&lt;0,-F41+E43-E44,E43-E44)</f>
        <v>8009.47995244591</v>
      </c>
      <c r="G43" s="334" t="n">
        <f aca="false">IF(G41&lt;0,-G41+F43-F44,F43-F44)</f>
        <v>8847.5278082535</v>
      </c>
      <c r="H43" s="334" t="n">
        <f aca="false">IF(H41&lt;0,-H41+G43-G44,G43-G44)</f>
        <v>9448.29187329393</v>
      </c>
      <c r="I43" s="334" t="n">
        <f aca="false">IF(I41&lt;0,-I41+H43-H44,H43-H44)</f>
        <v>9955.17675271386</v>
      </c>
      <c r="J43" s="334" t="n">
        <f aca="false">IF(J41&lt;0,-J41+I43-I44,I43-I44)</f>
        <v>10351.4709278972</v>
      </c>
      <c r="K43" s="334" t="n">
        <f aca="false">IF(K41&lt;0,-K41+J43-J44,J43-J44)</f>
        <v>10637.5625294835</v>
      </c>
      <c r="L43" s="334" t="n">
        <f aca="false">IF(L41&lt;0,-L41+K43-K44,K43-K44)</f>
        <v>10795.4368983541</v>
      </c>
      <c r="M43" s="334" t="n">
        <f aca="false">IF(M41&lt;0,-M41+L43-L44,L43-L44)</f>
        <v>10824.0749913917</v>
      </c>
      <c r="N43" s="334" t="n">
        <f aca="false">IF(N41&lt;0,-N41+M43-M44,M43-M44)</f>
        <v>10824.0749913917</v>
      </c>
      <c r="O43" s="334" t="n">
        <f aca="false">IF(O41&lt;0,-O41+N43-N44,N43-N44)</f>
        <v>10703.942637209</v>
      </c>
      <c r="P43" s="334" t="n">
        <f aca="false">IF(P41&lt;0,-P41+O43-O44,O43-O44)</f>
        <v>10432.3799736186</v>
      </c>
      <c r="Q43" s="334" t="n">
        <f aca="false">IF(Q41&lt;0,-Q41+P43-P44,P43-P44)</f>
        <v>9988.08101910981</v>
      </c>
      <c r="R43" s="334" t="n">
        <f aca="false">IF(R41&lt;0,-R41+Q43-Q44,Q43-Q44)</f>
        <v>8054.73314981812</v>
      </c>
      <c r="S43" s="334" t="n">
        <f aca="false">IF(S41&lt;0,-S41+R43-R44,R43-R44)</f>
        <v>4617.82748979521</v>
      </c>
      <c r="T43" s="334" t="n">
        <f aca="false">IF(T41&lt;0,-T41+S43-S44,S43-S44)</f>
        <v>969.004830777622</v>
      </c>
      <c r="U43" s="334" t="n">
        <f aca="false">IF(U41&lt;0,-U41+T43-T44,T43-T44)</f>
        <v>0</v>
      </c>
      <c r="V43" s="334" t="n">
        <f aca="false">IF(V41&lt;0,-V41+U43-U44,U43-U44)</f>
        <v>0</v>
      </c>
      <c r="W43" s="334" t="n">
        <f aca="false">IF(W41&lt;0,-W41+V43-V44,V43-V44)</f>
        <v>0</v>
      </c>
      <c r="X43" s="334" t="n">
        <f aca="false">IF(X41&lt;0,-X41+W43-W44,W43-W44)</f>
        <v>0</v>
      </c>
      <c r="Y43" s="334" t="n">
        <f aca="false">IF(Y41&lt;0,-Y41+X43-X44,X43-X44)</f>
        <v>0</v>
      </c>
      <c r="Z43" s="334" t="n">
        <f aca="false">IF(Z41&lt;0,-Z41+Y43-Y44,Y43-Y44)</f>
        <v>0</v>
      </c>
      <c r="AA43" s="334" t="n">
        <f aca="false">IF(AA41&lt;0,-AA41+Z43-Z44,Z43-Z44)</f>
        <v>931.542956497816</v>
      </c>
      <c r="AB43" s="334" t="n">
        <f aca="false">IF(AB41&lt;0,-AB41+AA43-AA44,AA43-AA44)</f>
        <v>1863.08591299563</v>
      </c>
      <c r="AC43" s="334" t="n">
        <f aca="false">IF(AC41&lt;0,-AC41+AB43-AB44,AB43-AB44)</f>
        <v>2794.62886949345</v>
      </c>
      <c r="AD43" s="334" t="n">
        <f aca="false">IF(AD41&lt;0,-AD41+AC43-AC44,AC43-AC44)</f>
        <v>3726.17182599126</v>
      </c>
      <c r="AE43" s="334" t="n">
        <f aca="false">IF(AE41&lt;0,-AE41+AD43-AD44,AD43-AD44)</f>
        <v>4657.71478248908</v>
      </c>
      <c r="AF43" s="334" t="n">
        <f aca="false">IF(AF41&lt;0,-AF41+AE43-AE44,AE43-AE44)</f>
        <v>5589.2577389869</v>
      </c>
    </row>
    <row r="44" customFormat="false" ht="12.75" hidden="false" customHeight="false" outlineLevel="0" collapsed="false">
      <c r="A44" s="39" t="s">
        <v>427</v>
      </c>
      <c r="B44" s="334" t="n">
        <v>0</v>
      </c>
      <c r="C44" s="334" t="n">
        <f aca="false">IF(C41&lt;0,0,IF(C43&gt;C41,C41,C43))</f>
        <v>0</v>
      </c>
      <c r="D44" s="334" t="n">
        <f aca="false">IF(D41&lt;0,0,IF(D43&gt;D41,D41,D43))</f>
        <v>0</v>
      </c>
      <c r="E44" s="334" t="n">
        <f aca="false">IF(E41&lt;0,0,IF(E43&gt;E41,E41,E43))</f>
        <v>0</v>
      </c>
      <c r="F44" s="334" t="n">
        <f aca="false">IF(F41&lt;0,0,IF(F43&gt;F41,F41,F43))</f>
        <v>0</v>
      </c>
      <c r="G44" s="334" t="n">
        <f aca="false">IF(G41&lt;0,0,IF(G43&gt;G41,G41,G43))</f>
        <v>0</v>
      </c>
      <c r="H44" s="334" t="n">
        <f aca="false">IF(H41&lt;0,0,IF(H43&gt;H41,H41,H43))</f>
        <v>0</v>
      </c>
      <c r="I44" s="334" t="n">
        <f aca="false">IF(I41&lt;0,0,IF(I43&gt;I41,I41,I43))</f>
        <v>0</v>
      </c>
      <c r="J44" s="334" t="n">
        <f aca="false">IF(J41&lt;0,0,IF(J43&gt;J41,J41,J43))</f>
        <v>0</v>
      </c>
      <c r="K44" s="334" t="n">
        <f aca="false">IF(K41&lt;0,0,IF(K43&gt;K41,K41,K43))</f>
        <v>0</v>
      </c>
      <c r="L44" s="334" t="n">
        <f aca="false">IF(L41&lt;0,0,IF(L43&gt;L41,L41,L43))</f>
        <v>0</v>
      </c>
      <c r="M44" s="334" t="n">
        <f aca="false">IF(M41&lt;0,0,IF(M43&gt;M41,M41,M43))</f>
        <v>0</v>
      </c>
      <c r="N44" s="334" t="n">
        <f aca="false">IF(N41&lt;0,0,IF(N43&gt;N41,N41,N43))</f>
        <v>120.132354182726</v>
      </c>
      <c r="O44" s="334" t="n">
        <f aca="false">IF(O41&lt;0,0,IF(O43&gt;O41,O41,O43))</f>
        <v>271.562663590316</v>
      </c>
      <c r="P44" s="334" t="n">
        <f aca="false">IF(P41&lt;0,0,IF(P43&gt;P41,P41,P43))</f>
        <v>444.298954508828</v>
      </c>
      <c r="Q44" s="334" t="n">
        <f aca="false">IF(Q41&lt;0,0,IF(Q43&gt;Q41,Q41,Q43))</f>
        <v>1933.3478692917</v>
      </c>
      <c r="R44" s="334" t="n">
        <f aca="false">IF(R41&lt;0,0,IF(R43&gt;R41,R41,R43))</f>
        <v>3436.90566002291</v>
      </c>
      <c r="S44" s="334" t="n">
        <f aca="false">IF(S41&lt;0,0,IF(S43&gt;S41,S41,S43))</f>
        <v>3648.82265901758</v>
      </c>
      <c r="T44" s="334" t="n">
        <f aca="false">IF(T41&lt;0,0,IF(T43&gt;T41,T41,T43))</f>
        <v>969.004830777622</v>
      </c>
      <c r="U44" s="334" t="n">
        <f aca="false">IF(U41&lt;0,0,IF(U43&gt;U41,U41,U43))</f>
        <v>0</v>
      </c>
      <c r="V44" s="334" t="n">
        <f aca="false">IF(V41&lt;0,0,IF(V43&gt;V41,V41,V43))</f>
        <v>0</v>
      </c>
      <c r="W44" s="334" t="n">
        <f aca="false">IF(W41&lt;0,0,IF(W43&gt;W41,W41,W43))</f>
        <v>0</v>
      </c>
      <c r="X44" s="334" t="n">
        <f aca="false">IF(X41&lt;0,0,IF(X43&gt;X41,X41,X43))</f>
        <v>0</v>
      </c>
      <c r="Y44" s="334" t="n">
        <f aca="false">IF(Y41&lt;0,0,IF(Y43&gt;Y41,Y41,Y43))</f>
        <v>0</v>
      </c>
      <c r="Z44" s="334" t="n">
        <f aca="false">IF(Z41&lt;0,0,IF(Z43&gt;Z41,Z41,Z43))</f>
        <v>0</v>
      </c>
      <c r="AA44" s="334" t="n">
        <f aca="false">IF(AA41&lt;0,0,IF(AA43&gt;AA41,AA41,AA43))</f>
        <v>0</v>
      </c>
      <c r="AB44" s="334" t="n">
        <f aca="false">IF(AB41&lt;0,0,IF(AB43&gt;AB41,AB41,AB43))</f>
        <v>0</v>
      </c>
      <c r="AC44" s="334" t="n">
        <f aca="false">IF(AC41&lt;0,0,IF(AC43&gt;AC41,AC41,AC43))</f>
        <v>0</v>
      </c>
      <c r="AD44" s="334" t="n">
        <f aca="false">IF(AD41&lt;0,0,IF(AD43&gt;AD41,AD41,AD43))</f>
        <v>0</v>
      </c>
      <c r="AE44" s="334" t="n">
        <f aca="false">IF(AE41&lt;0,0,IF(AE43&gt;AE41,AE41,AE43))</f>
        <v>0</v>
      </c>
      <c r="AF44" s="334" t="n">
        <f aca="false">IF(AF41&lt;0,0,IF(AF43&gt;AF41,AF41,AF43))</f>
        <v>0</v>
      </c>
    </row>
    <row r="45" customFormat="false" ht="12.75" hidden="false" customHeight="false" outlineLevel="0" collapsed="false">
      <c r="A45" s="39"/>
      <c r="B45" s="334"/>
      <c r="C45" s="334"/>
      <c r="D45" s="334"/>
      <c r="E45" s="334"/>
      <c r="F45" s="334"/>
      <c r="G45" s="334"/>
      <c r="H45" s="334"/>
      <c r="I45" s="334"/>
      <c r="J45" s="334"/>
      <c r="K45" s="334"/>
      <c r="L45" s="334"/>
      <c r="M45" s="334"/>
      <c r="N45" s="334"/>
      <c r="O45" s="334"/>
      <c r="P45" s="334"/>
      <c r="Q45" s="334"/>
      <c r="R45" s="334"/>
      <c r="S45" s="334"/>
      <c r="T45" s="334"/>
      <c r="U45" s="334"/>
      <c r="V45" s="334"/>
      <c r="W45" s="334"/>
      <c r="X45" s="334"/>
      <c r="Y45" s="334"/>
      <c r="Z45" s="334"/>
      <c r="AA45" s="334"/>
      <c r="AB45" s="334"/>
      <c r="AC45" s="334"/>
      <c r="AD45" s="334"/>
      <c r="AE45" s="334"/>
      <c r="AF45" s="334"/>
    </row>
    <row r="46" customFormat="false" ht="12.75" hidden="false" customHeight="false" outlineLevel="0" collapsed="false">
      <c r="A46" s="198" t="s">
        <v>439</v>
      </c>
      <c r="B46" s="405" t="n">
        <f aca="false">IF(B41&lt;0,0,(B41-B44))</f>
        <v>0</v>
      </c>
      <c r="C46" s="405" t="n">
        <f aca="false">IF(C41&lt;0,0,(C41-C44))</f>
        <v>0</v>
      </c>
      <c r="D46" s="405" t="n">
        <f aca="false">IF(D41&lt;0,0,(D41-D44))</f>
        <v>0</v>
      </c>
      <c r="E46" s="405" t="n">
        <f aca="false">IF(E41&lt;0,0,(E41-E44))</f>
        <v>0</v>
      </c>
      <c r="F46" s="405" t="n">
        <f aca="false">IF(F41&lt;0,0,(F41-F44))</f>
        <v>0</v>
      </c>
      <c r="G46" s="405" t="n">
        <f aca="false">IF(G41&lt;0,0,(G41-G44))</f>
        <v>0</v>
      </c>
      <c r="H46" s="405" t="n">
        <f aca="false">IF(H41&lt;0,0,(H41-H44))</f>
        <v>0</v>
      </c>
      <c r="I46" s="405" t="n">
        <f aca="false">IF(I41&lt;0,0,(I41-I44))</f>
        <v>0</v>
      </c>
      <c r="J46" s="405" t="n">
        <f aca="false">IF(J41&lt;0,0,(J41-J44))</f>
        <v>0</v>
      </c>
      <c r="K46" s="405" t="n">
        <f aca="false">IF(K41&lt;0,0,(K41-K44))</f>
        <v>0</v>
      </c>
      <c r="L46" s="405" t="n">
        <f aca="false">IF(L41&lt;0,0,(L41-L44))</f>
        <v>0</v>
      </c>
      <c r="M46" s="405" t="n">
        <f aca="false">IF(M41&lt;0,0,(M41-M44))</f>
        <v>0</v>
      </c>
      <c r="N46" s="405" t="n">
        <f aca="false">IF(N41&lt;0,0,(N41-N44))</f>
        <v>0</v>
      </c>
      <c r="O46" s="405" t="n">
        <f aca="false">IF(O41&lt;0,0,(O41-O44))</f>
        <v>0</v>
      </c>
      <c r="P46" s="405" t="n">
        <f aca="false">IF(P41&lt;0,0,(P41-P44))</f>
        <v>0</v>
      </c>
      <c r="Q46" s="405" t="n">
        <f aca="false">IF(Q41&lt;0,0,(Q41-Q44))</f>
        <v>0</v>
      </c>
      <c r="R46" s="405" t="n">
        <f aca="false">IF(R41&lt;0,0,(R41-R44))</f>
        <v>0</v>
      </c>
      <c r="S46" s="405" t="n">
        <f aca="false">IF(S41&lt;0,0,(S41-S44))</f>
        <v>0</v>
      </c>
      <c r="T46" s="405" t="n">
        <f aca="false">IF(T41&lt;0,0,(T41-T44))</f>
        <v>2522.03359855443</v>
      </c>
      <c r="U46" s="405" t="n">
        <f aca="false">IF(U41&lt;0,0,(U41-U44))</f>
        <v>3491.03842933205</v>
      </c>
      <c r="V46" s="405" t="n">
        <f aca="false">IF(V41&lt;0,0,(V41-V44))</f>
        <v>3505.84342933205</v>
      </c>
      <c r="W46" s="405" t="n">
        <f aca="false">IF(W41&lt;0,0,(W41-W44))</f>
        <v>3505.84342933205</v>
      </c>
      <c r="X46" s="405" t="n">
        <f aca="false">IF(X41&lt;0,0,(X41-X44))</f>
        <v>3505.84342933205</v>
      </c>
      <c r="Y46" s="405" t="n">
        <f aca="false">IF(Y41&lt;0,0,(Y41-Y44))</f>
        <v>3505.84342933205</v>
      </c>
      <c r="Z46" s="405" t="n">
        <f aca="false">IF(Z41&lt;0,0,(Z41-Z44))</f>
        <v>3505.84342933205</v>
      </c>
      <c r="AA46" s="405" t="n">
        <f aca="false">IF(AA41&lt;0,0,(AA41-AA44))</f>
        <v>0</v>
      </c>
      <c r="AB46" s="405" t="n">
        <f aca="false">IF(AB41&lt;0,0,(AB41-AB44))</f>
        <v>0</v>
      </c>
      <c r="AC46" s="405" t="n">
        <f aca="false">IF(AC41&lt;0,0,(AC41-AC44))</f>
        <v>0</v>
      </c>
      <c r="AD46" s="405" t="n">
        <f aca="false">IF(AD41&lt;0,0,(AD41-AD44))</f>
        <v>0</v>
      </c>
      <c r="AE46" s="405" t="n">
        <f aca="false">IF(AE41&lt;0,0,(AE41-AE44))</f>
        <v>0</v>
      </c>
      <c r="AF46" s="405" t="n">
        <f aca="false">IF(AF41&lt;0,0,(AF41-AF44))</f>
        <v>0</v>
      </c>
    </row>
    <row r="47" customFormat="false" ht="12.75" hidden="false" customHeight="false" outlineLevel="0" collapsed="false">
      <c r="A47" s="198"/>
      <c r="B47" s="405"/>
      <c r="C47" s="405"/>
      <c r="D47" s="405"/>
      <c r="E47" s="405"/>
      <c r="F47" s="405"/>
      <c r="G47" s="405"/>
      <c r="H47" s="405"/>
      <c r="I47" s="405"/>
      <c r="J47" s="405"/>
      <c r="K47" s="405"/>
      <c r="L47" s="405"/>
      <c r="M47" s="405"/>
      <c r="N47" s="405"/>
      <c r="O47" s="405"/>
      <c r="P47" s="405"/>
      <c r="Q47" s="405"/>
      <c r="R47" s="405"/>
      <c r="S47" s="405"/>
      <c r="T47" s="405"/>
      <c r="U47" s="405"/>
      <c r="V47" s="405"/>
      <c r="W47" s="405"/>
      <c r="X47" s="405"/>
      <c r="Y47" s="405"/>
      <c r="Z47" s="405"/>
      <c r="AA47" s="405"/>
      <c r="AB47" s="405"/>
      <c r="AC47" s="405"/>
      <c r="AD47" s="405"/>
      <c r="AE47" s="405"/>
      <c r="AF47" s="405"/>
    </row>
    <row r="48" customFormat="false" ht="12.75" hidden="false" customHeight="false" outlineLevel="0" collapsed="false">
      <c r="A48" s="0"/>
      <c r="B48" s="375"/>
      <c r="C48" s="657"/>
      <c r="D48" s="657"/>
      <c r="E48" s="657"/>
      <c r="F48" s="657"/>
      <c r="G48" s="657"/>
      <c r="H48" s="657"/>
      <c r="I48" s="657"/>
      <c r="J48" s="657"/>
      <c r="K48" s="657"/>
      <c r="L48" s="657"/>
      <c r="M48" s="657"/>
      <c r="N48" s="657"/>
      <c r="O48" s="657"/>
      <c r="P48" s="657"/>
      <c r="Q48" s="657"/>
      <c r="R48" s="657"/>
      <c r="S48" s="657"/>
      <c r="T48" s="657"/>
      <c r="U48" s="657"/>
      <c r="V48" s="657"/>
      <c r="W48" s="657"/>
      <c r="X48" s="657"/>
      <c r="Y48" s="657"/>
      <c r="Z48" s="657"/>
      <c r="AA48" s="657"/>
      <c r="AB48" s="657"/>
      <c r="AC48" s="657"/>
      <c r="AD48" s="657"/>
      <c r="AE48" s="657"/>
      <c r="AF48" s="657"/>
    </row>
    <row r="49" customFormat="false" ht="12.75" hidden="false" customHeight="false" outlineLevel="0" collapsed="false">
      <c r="A49" s="0"/>
      <c r="B49" s="375"/>
    </row>
    <row r="50" customFormat="false" ht="12.75" hidden="false" customHeight="false" outlineLevel="0" collapsed="false">
      <c r="A50" s="0"/>
      <c r="B50" s="375"/>
      <c r="C50" s="658"/>
    </row>
    <row r="51" customFormat="false" ht="12.75" hidden="false" customHeight="false" outlineLevel="0" collapsed="false">
      <c r="A51" s="0"/>
      <c r="B51" s="37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42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&amp;L&amp;T, &amp;D&amp;C&amp;F&amp;R&amp;P 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>
    <row r="1" customFormat="false" ht="12.75" hidden="false" customHeight="false" outlineLevel="0" collapsed="false">
      <c r="A1" s="659" t="s">
        <v>440</v>
      </c>
    </row>
    <row r="4" customFormat="false" ht="12.75" hidden="false" customHeight="false" outlineLevel="0" collapsed="false">
      <c r="A4" s="0" t="n">
        <v>1</v>
      </c>
      <c r="B4" s="0" t="s">
        <v>441</v>
      </c>
    </row>
    <row r="5" customFormat="false" ht="12.75" hidden="false" customHeight="false" outlineLevel="0" collapsed="false">
      <c r="B5" s="0" t="s">
        <v>442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E1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28125" defaultRowHeight="12.75" customHeight="true" zeroHeight="false" outlineLevelRow="0" outlineLevelCol="0"/>
  <cols>
    <col collapsed="false" customWidth="true" hidden="false" outlineLevel="0" max="1" min="1" style="1" width="63.85"/>
    <col collapsed="false" customWidth="true" hidden="false" outlineLevel="0" max="6" min="2" style="1" width="24.56"/>
    <col collapsed="false" customWidth="false" hidden="false" outlineLevel="0" max="257" min="7" style="1" width="9.28"/>
  </cols>
  <sheetData>
    <row r="2" customFormat="false" ht="18.75" hidden="false" customHeight="false" outlineLevel="0" collapsed="false">
      <c r="A2" s="6" t="str">
        <f aca="false">Assumptions!B3</f>
        <v>PROJECT NAME: SANTEE COOPER</v>
      </c>
    </row>
    <row r="4" customFormat="false" ht="18.75" hidden="false" customHeight="false" outlineLevel="0" collapsed="false">
      <c r="A4" s="56" t="s">
        <v>24</v>
      </c>
    </row>
    <row r="6" customFormat="false" ht="13.5" hidden="false" customHeight="false" outlineLevel="0" collapsed="false"/>
    <row r="7" customFormat="false" ht="21" hidden="false" customHeight="false" outlineLevel="0" collapsed="false">
      <c r="A7" s="30"/>
      <c r="B7" s="31" t="s">
        <v>25</v>
      </c>
      <c r="C7" s="31" t="s">
        <v>25</v>
      </c>
      <c r="D7" s="57" t="s">
        <v>16</v>
      </c>
      <c r="E7" s="57"/>
    </row>
    <row r="8" customFormat="false" ht="16.5" hidden="false" customHeight="false" outlineLevel="0" collapsed="false">
      <c r="A8" s="14"/>
      <c r="B8" s="34" t="s">
        <v>26</v>
      </c>
      <c r="C8" s="34" t="s">
        <v>27</v>
      </c>
      <c r="D8" s="57" t="s">
        <v>28</v>
      </c>
      <c r="E8" s="57"/>
    </row>
    <row r="9" customFormat="false" ht="15.75" hidden="false" customHeight="false" outlineLevel="0" collapsed="false">
      <c r="A9" s="58"/>
      <c r="B9" s="59" t="s">
        <v>29</v>
      </c>
      <c r="C9" s="59" t="s">
        <v>29</v>
      </c>
      <c r="D9" s="59" t="s">
        <v>18</v>
      </c>
      <c r="E9" s="60" t="s">
        <v>30</v>
      </c>
    </row>
    <row r="10" customFormat="false" ht="16.5" hidden="false" customHeight="false" outlineLevel="0" collapsed="false">
      <c r="A10" s="61" t="s">
        <v>31</v>
      </c>
      <c r="B10" s="62" t="n">
        <f aca="false">Assumptions!J36</f>
        <v>0</v>
      </c>
      <c r="C10" s="62" t="n">
        <f aca="false">Assumptions!J37</f>
        <v>0</v>
      </c>
      <c r="D10" s="63" t="n">
        <v>1.28889637492317</v>
      </c>
      <c r="E10" s="64" t="n">
        <v>1.39279213518603</v>
      </c>
    </row>
    <row r="11" customFormat="false" ht="15.75" hidden="false" customHeight="false" outlineLevel="0" collapsed="false">
      <c r="A11" s="65"/>
      <c r="C11" s="66"/>
      <c r="D11" s="67"/>
      <c r="E11" s="67"/>
    </row>
    <row r="12" customFormat="false" ht="13.5" hidden="false" customHeight="false" outlineLevel="0" collapsed="false"/>
    <row r="13" customFormat="false" ht="15.75" hidden="false" customHeight="false" outlineLevel="0" collapsed="false">
      <c r="A13" s="68" t="s">
        <v>32</v>
      </c>
      <c r="B13" s="69" t="n">
        <v>0.268861371278763</v>
      </c>
      <c r="C13" s="69" t="n">
        <v>0.268861371278763</v>
      </c>
      <c r="D13" s="70" t="n">
        <v>1.28889637492317</v>
      </c>
      <c r="E13" s="71" t="n">
        <v>1.39279213518603</v>
      </c>
    </row>
    <row r="14" customFormat="false" ht="15.75" hidden="false" customHeight="false" outlineLevel="0" collapsed="false">
      <c r="A14" s="52" t="s">
        <v>33</v>
      </c>
      <c r="B14" s="39"/>
      <c r="C14" s="72"/>
      <c r="D14" s="15"/>
      <c r="E14" s="16"/>
    </row>
    <row r="15" customFormat="false" ht="15.75" hidden="false" customHeight="false" outlineLevel="0" collapsed="false">
      <c r="A15" s="52" t="s">
        <v>34</v>
      </c>
      <c r="B15" s="39"/>
      <c r="C15" s="72"/>
      <c r="D15" s="15"/>
      <c r="E15" s="16"/>
    </row>
    <row r="16" customFormat="false" ht="15.75" hidden="false" customHeight="false" outlineLevel="0" collapsed="false">
      <c r="A16" s="52"/>
      <c r="B16" s="39"/>
      <c r="C16" s="72"/>
      <c r="D16" s="15"/>
      <c r="E16" s="16"/>
    </row>
    <row r="17" customFormat="false" ht="15.75" hidden="false" customHeight="false" outlineLevel="0" collapsed="false">
      <c r="A17" s="52"/>
      <c r="B17" s="39"/>
      <c r="C17" s="72"/>
      <c r="D17" s="15"/>
      <c r="E17" s="16"/>
    </row>
    <row r="18" customFormat="false" ht="15.75" hidden="false" customHeight="false" outlineLevel="0" collapsed="false">
      <c r="A18" s="52"/>
      <c r="B18" s="39"/>
      <c r="C18" s="72"/>
      <c r="D18" s="15"/>
      <c r="E18" s="16"/>
    </row>
    <row r="19" customFormat="false" ht="16.5" hidden="false" customHeight="false" outlineLevel="0" collapsed="false">
      <c r="A19" s="54"/>
      <c r="B19" s="36"/>
      <c r="C19" s="73"/>
      <c r="D19" s="74"/>
      <c r="E19" s="75"/>
    </row>
  </sheetData>
  <mergeCells count="2">
    <mergeCell ref="D7:E7"/>
    <mergeCell ref="D8:E8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&amp;L&amp;T, &amp;D&amp;C&amp;F&amp;R&amp;P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71"/>
  <sheetViews>
    <sheetView showFormulas="false" showGridLines="true" showRowColHeaders="true" showZeros="true" rightToLeft="false" tabSelected="false" showOutlineSymbols="true" defaultGridColor="true" view="pageBreakPreview" topLeftCell="A1" colorId="64" zoomScale="100" zoomScaleNormal="100" zoomScalePageLayoutView="100" workbookViewId="0">
      <selection pane="topLeft" activeCell="A1" activeCellId="0" sqref="A1:J1"/>
    </sheetView>
  </sheetViews>
  <sheetFormatPr defaultColWidth="16.13671875" defaultRowHeight="18" customHeight="true" zeroHeight="false" outlineLevelRow="0" outlineLevelCol="0"/>
  <cols>
    <col collapsed="false" customWidth="true" hidden="false" outlineLevel="0" max="1" min="1" style="76" width="32.28"/>
    <col collapsed="false" customWidth="true" hidden="false" outlineLevel="0" max="2" min="2" style="76" width="24.28"/>
    <col collapsed="false" customWidth="false" hidden="false" outlineLevel="0" max="3" min="3" style="76" width="16.13"/>
    <col collapsed="false" customWidth="true" hidden="false" outlineLevel="0" max="4" min="4" style="76" width="13.56"/>
    <col collapsed="false" customWidth="false" hidden="false" outlineLevel="0" max="5" min="5" style="76" width="16.13"/>
    <col collapsed="false" customWidth="true" hidden="false" outlineLevel="0" max="6" min="6" style="76" width="20.85"/>
    <col collapsed="false" customWidth="false" hidden="false" outlineLevel="0" max="7" min="7" style="76" width="16.13"/>
    <col collapsed="false" customWidth="true" hidden="false" outlineLevel="0" max="8" min="8" style="76" width="20.7"/>
    <col collapsed="false" customWidth="false" hidden="false" outlineLevel="0" max="257" min="9" style="76" width="16.13"/>
  </cols>
  <sheetData>
    <row r="1" customFormat="false" ht="29.25" hidden="false" customHeight="true" outlineLevel="0" collapsed="false">
      <c r="A1" s="77"/>
      <c r="B1" s="77"/>
      <c r="C1" s="77"/>
      <c r="D1" s="77"/>
      <c r="E1" s="77"/>
      <c r="F1" s="77"/>
      <c r="G1" s="77"/>
      <c r="H1" s="77"/>
      <c r="I1" s="77"/>
      <c r="J1" s="77"/>
    </row>
    <row r="2" customFormat="false" ht="26.25" hidden="false" customHeight="true" outlineLevel="0" collapsed="false">
      <c r="A2" s="78"/>
      <c r="B2" s="78"/>
      <c r="C2" s="78"/>
      <c r="D2" s="78"/>
      <c r="E2" s="78"/>
      <c r="F2" s="78"/>
      <c r="G2" s="78"/>
      <c r="H2" s="78"/>
      <c r="I2" s="78"/>
      <c r="J2" s="78"/>
    </row>
    <row r="8" customFormat="false" ht="26.25" hidden="false" customHeight="true" outlineLevel="0" collapsed="false">
      <c r="A8" s="79" t="s">
        <v>35</v>
      </c>
      <c r="B8" s="80"/>
    </row>
    <row r="9" customFormat="false" ht="18" hidden="false" customHeight="true" outlineLevel="0" collapsed="false">
      <c r="G9" s="81" t="s">
        <v>36</v>
      </c>
      <c r="I9" s="81" t="s">
        <v>37</v>
      </c>
    </row>
    <row r="10" customFormat="false" ht="36.75" hidden="false" customHeight="true" outlineLevel="0" collapsed="false">
      <c r="E10" s="82" t="s">
        <v>38</v>
      </c>
      <c r="G10" s="81"/>
      <c r="I10" s="81"/>
    </row>
    <row r="12" customFormat="false" ht="18" hidden="false" customHeight="false" outlineLevel="0" collapsed="false">
      <c r="B12" s="83" t="s">
        <v>39</v>
      </c>
      <c r="E12" s="84" t="n">
        <v>129927.393312629</v>
      </c>
      <c r="G12" s="85" t="n">
        <v>115000</v>
      </c>
      <c r="I12" s="84" t="n">
        <v>129927</v>
      </c>
    </row>
    <row r="13" customFormat="false" ht="18" hidden="false" customHeight="false" outlineLevel="0" collapsed="false">
      <c r="B13" s="83"/>
      <c r="E13" s="84"/>
      <c r="G13" s="84"/>
      <c r="I13" s="84"/>
    </row>
    <row r="14" customFormat="false" ht="18" hidden="false" customHeight="false" outlineLevel="0" collapsed="false">
      <c r="B14" s="83"/>
      <c r="E14" s="86"/>
      <c r="I14" s="87"/>
    </row>
    <row r="15" customFormat="false" ht="18" hidden="false" customHeight="false" outlineLevel="0" collapsed="false">
      <c r="B15" s="83" t="s">
        <v>40</v>
      </c>
      <c r="E15" s="84" t="n">
        <v>564.901710054907</v>
      </c>
      <c r="G15" s="84" t="n">
        <v>500</v>
      </c>
      <c r="I15" s="84" t="n">
        <v>565</v>
      </c>
    </row>
    <row r="16" customFormat="false" ht="18" hidden="false" customHeight="false" outlineLevel="0" collapsed="false">
      <c r="B16" s="83"/>
      <c r="E16" s="84"/>
      <c r="G16" s="84"/>
      <c r="I16" s="84"/>
    </row>
    <row r="17" customFormat="false" ht="18" hidden="false" customHeight="false" outlineLevel="0" collapsed="false">
      <c r="B17" s="83"/>
    </row>
    <row r="18" customFormat="false" ht="18" hidden="false" customHeight="false" outlineLevel="0" collapsed="false">
      <c r="B18" s="83" t="s">
        <v>41</v>
      </c>
      <c r="E18" s="88" t="n">
        <v>4.5</v>
      </c>
      <c r="G18" s="88" t="n">
        <v>4.5</v>
      </c>
      <c r="I18" s="89" t="n">
        <v>5.96</v>
      </c>
    </row>
    <row r="19" customFormat="false" ht="18" hidden="false" customHeight="false" outlineLevel="0" collapsed="false">
      <c r="B19" s="83"/>
      <c r="E19" s="88"/>
      <c r="G19" s="88"/>
      <c r="I19" s="88"/>
    </row>
    <row r="20" customFormat="false" ht="18" hidden="false" customHeight="false" outlineLevel="0" collapsed="false">
      <c r="B20" s="83"/>
    </row>
    <row r="21" customFormat="false" ht="18" hidden="false" customHeight="false" outlineLevel="0" collapsed="false">
      <c r="B21" s="83" t="s">
        <v>42</v>
      </c>
      <c r="E21" s="88" t="n">
        <v>2.25</v>
      </c>
      <c r="G21" s="88" t="n">
        <v>2.25</v>
      </c>
      <c r="I21" s="88" t="n">
        <v>2.25</v>
      </c>
    </row>
    <row r="22" customFormat="false" ht="18" hidden="false" customHeight="false" outlineLevel="0" collapsed="false">
      <c r="B22" s="83"/>
      <c r="E22" s="88"/>
      <c r="G22" s="88"/>
      <c r="I22" s="88"/>
    </row>
    <row r="23" customFormat="false" ht="18" hidden="false" customHeight="false" outlineLevel="0" collapsed="false">
      <c r="B23" s="90"/>
    </row>
    <row r="24" customFormat="false" ht="18" hidden="false" customHeight="false" outlineLevel="0" collapsed="false">
      <c r="B24" s="83" t="s">
        <v>43</v>
      </c>
    </row>
    <row r="25" customFormat="false" ht="18" hidden="false" customHeight="false" outlineLevel="0" collapsed="false">
      <c r="B25" s="83" t="s">
        <v>44</v>
      </c>
      <c r="D25" s="91" t="s">
        <v>45</v>
      </c>
      <c r="E25" s="92" t="n">
        <v>0.39</v>
      </c>
      <c r="F25" s="93"/>
      <c r="G25" s="94" t="n">
        <v>0.3</v>
      </c>
      <c r="H25" s="93"/>
      <c r="I25" s="95" t="n">
        <v>0.17</v>
      </c>
    </row>
    <row r="26" customFormat="false" ht="18" hidden="false" customHeight="false" outlineLevel="0" collapsed="false">
      <c r="B26" s="90"/>
      <c r="D26" s="91" t="s">
        <v>46</v>
      </c>
      <c r="E26" s="96" t="n">
        <v>0.61</v>
      </c>
      <c r="F26" s="97"/>
      <c r="G26" s="98" t="n">
        <v>0.7</v>
      </c>
      <c r="H26" s="97"/>
      <c r="I26" s="99" t="n">
        <v>0.83</v>
      </c>
    </row>
    <row r="27" customFormat="false" ht="18" hidden="false" customHeight="false" outlineLevel="0" collapsed="false">
      <c r="B27" s="90"/>
      <c r="D27" s="91"/>
      <c r="E27" s="100"/>
      <c r="G27" s="100"/>
      <c r="I27" s="100"/>
    </row>
    <row r="28" customFormat="false" ht="18" hidden="false" customHeight="false" outlineLevel="0" collapsed="false">
      <c r="B28" s="90"/>
    </row>
    <row r="29" customFormat="false" ht="18" hidden="false" customHeight="false" outlineLevel="0" collapsed="false">
      <c r="B29" s="83" t="s">
        <v>47</v>
      </c>
    </row>
    <row r="31" customFormat="false" ht="18" hidden="false" customHeight="false" outlineLevel="0" collapsed="false">
      <c r="D31" s="91" t="s">
        <v>48</v>
      </c>
      <c r="E31" s="101" t="n">
        <v>0.0595745593309403</v>
      </c>
      <c r="F31" s="93"/>
      <c r="G31" s="102" t="n">
        <v>0.091083374619484</v>
      </c>
      <c r="H31" s="93"/>
      <c r="I31" s="103" t="n">
        <v>0.185915023088455</v>
      </c>
    </row>
    <row r="32" customFormat="false" ht="18" hidden="false" customHeight="false" outlineLevel="0" collapsed="false">
      <c r="D32" s="91" t="s">
        <v>49</v>
      </c>
      <c r="E32" s="104" t="n">
        <v>0.0357615798711777</v>
      </c>
      <c r="F32" s="105"/>
      <c r="G32" s="106" t="n">
        <v>0.0630395263433456</v>
      </c>
      <c r="H32" s="105"/>
      <c r="I32" s="107" t="n">
        <v>0.170331603288651</v>
      </c>
    </row>
    <row r="33" customFormat="false" ht="18" hidden="false" customHeight="false" outlineLevel="0" collapsed="false">
      <c r="D33" s="91" t="s">
        <v>50</v>
      </c>
      <c r="E33" s="108" t="n">
        <v>-0.00219712406396866</v>
      </c>
      <c r="F33" s="97"/>
      <c r="G33" s="109" t="n">
        <v>0.0251116007566452</v>
      </c>
      <c r="H33" s="97"/>
      <c r="I33" s="110" t="n">
        <v>0.15023313164711</v>
      </c>
    </row>
    <row r="34" customFormat="false" ht="18" hidden="false" customHeight="false" outlineLevel="0" collapsed="false">
      <c r="D34" s="91"/>
      <c r="E34" s="106"/>
      <c r="G34" s="106"/>
      <c r="I34" s="106"/>
    </row>
    <row r="36" customFormat="false" ht="18" hidden="false" customHeight="false" outlineLevel="0" collapsed="false">
      <c r="B36" s="83" t="s">
        <v>51</v>
      </c>
      <c r="E36" s="84" t="n">
        <v>50671.6833919251</v>
      </c>
      <c r="G36" s="84" t="n">
        <v>34500</v>
      </c>
      <c r="I36" s="84" t="n">
        <v>3122.02556399729</v>
      </c>
    </row>
    <row r="37" customFormat="false" ht="18" hidden="false" customHeight="false" outlineLevel="0" collapsed="false">
      <c r="B37" s="83" t="s">
        <v>52</v>
      </c>
      <c r="E37" s="100" t="n">
        <f aca="false">+E36/E12</f>
        <v>0.39</v>
      </c>
      <c r="G37" s="100" t="n">
        <f aca="false">+G36/G12</f>
        <v>0.3</v>
      </c>
      <c r="I37" s="100" t="n">
        <f aca="false">+I36/I12</f>
        <v>0.0240290745110507</v>
      </c>
    </row>
    <row r="42" customFormat="false" ht="25.5" hidden="false" customHeight="true" outlineLevel="0" collapsed="false">
      <c r="A42" s="79" t="s">
        <v>53</v>
      </c>
      <c r="B42" s="80"/>
    </row>
    <row r="43" customFormat="false" ht="18" hidden="false" customHeight="true" outlineLevel="0" collapsed="false">
      <c r="G43" s="81" t="s">
        <v>36</v>
      </c>
      <c r="I43" s="81" t="s">
        <v>37</v>
      </c>
    </row>
    <row r="44" customFormat="false" ht="36" hidden="false" customHeight="true" outlineLevel="0" collapsed="false">
      <c r="E44" s="82" t="s">
        <v>38</v>
      </c>
      <c r="G44" s="81"/>
      <c r="I44" s="81"/>
    </row>
    <row r="46" customFormat="false" ht="18" hidden="false" customHeight="false" outlineLevel="0" collapsed="false">
      <c r="B46" s="83" t="s">
        <v>39</v>
      </c>
      <c r="E46" s="84" t="n">
        <v>129927.393312629</v>
      </c>
      <c r="G46" s="85" t="n">
        <v>115000</v>
      </c>
      <c r="I46" s="84" t="n">
        <v>129927</v>
      </c>
    </row>
    <row r="47" customFormat="false" ht="18" hidden="false" customHeight="false" outlineLevel="0" collapsed="false">
      <c r="B47" s="83"/>
      <c r="E47" s="84"/>
      <c r="G47" s="84"/>
      <c r="I47" s="84"/>
    </row>
    <row r="48" customFormat="false" ht="18" hidden="false" customHeight="false" outlineLevel="0" collapsed="false">
      <c r="B48" s="83"/>
      <c r="E48" s="86"/>
      <c r="I48" s="87"/>
    </row>
    <row r="49" customFormat="false" ht="18" hidden="false" customHeight="false" outlineLevel="0" collapsed="false">
      <c r="B49" s="83" t="s">
        <v>40</v>
      </c>
      <c r="E49" s="84" t="n">
        <v>564.901710054907</v>
      </c>
      <c r="G49" s="84" t="n">
        <v>500</v>
      </c>
      <c r="I49" s="84" t="n">
        <v>565</v>
      </c>
    </row>
    <row r="50" customFormat="false" ht="18" hidden="false" customHeight="false" outlineLevel="0" collapsed="false">
      <c r="B50" s="83"/>
      <c r="E50" s="84"/>
      <c r="G50" s="84"/>
      <c r="I50" s="84"/>
    </row>
    <row r="51" customFormat="false" ht="18" hidden="false" customHeight="false" outlineLevel="0" collapsed="false">
      <c r="B51" s="83"/>
    </row>
    <row r="52" customFormat="false" ht="18" hidden="false" customHeight="false" outlineLevel="0" collapsed="false">
      <c r="B52" s="83" t="s">
        <v>41</v>
      </c>
      <c r="E52" s="88" t="n">
        <v>4.5</v>
      </c>
      <c r="G52" s="88" t="n">
        <v>4.5</v>
      </c>
      <c r="I52" s="89" t="n">
        <v>5.81</v>
      </c>
    </row>
    <row r="53" customFormat="false" ht="18" hidden="false" customHeight="false" outlineLevel="0" collapsed="false">
      <c r="B53" s="83"/>
      <c r="E53" s="88"/>
      <c r="G53" s="88"/>
      <c r="I53" s="88"/>
    </row>
    <row r="54" customFormat="false" ht="18" hidden="false" customHeight="false" outlineLevel="0" collapsed="false">
      <c r="B54" s="83"/>
    </row>
    <row r="55" customFormat="false" ht="18" hidden="false" customHeight="false" outlineLevel="0" collapsed="false">
      <c r="B55" s="83" t="s">
        <v>42</v>
      </c>
      <c r="E55" s="88" t="n">
        <v>2.25</v>
      </c>
      <c r="G55" s="88" t="n">
        <v>2.25</v>
      </c>
      <c r="I55" s="88" t="n">
        <v>2.25</v>
      </c>
    </row>
    <row r="56" customFormat="false" ht="18" hidden="false" customHeight="false" outlineLevel="0" collapsed="false">
      <c r="B56" s="83"/>
      <c r="E56" s="88"/>
      <c r="G56" s="88"/>
      <c r="I56" s="88"/>
    </row>
    <row r="57" customFormat="false" ht="18" hidden="false" customHeight="false" outlineLevel="0" collapsed="false">
      <c r="B57" s="90"/>
    </row>
    <row r="58" customFormat="false" ht="18" hidden="false" customHeight="false" outlineLevel="0" collapsed="false">
      <c r="B58" s="83" t="s">
        <v>43</v>
      </c>
    </row>
    <row r="59" customFormat="false" ht="18" hidden="false" customHeight="false" outlineLevel="0" collapsed="false">
      <c r="B59" s="83" t="s">
        <v>44</v>
      </c>
      <c r="D59" s="91" t="s">
        <v>45</v>
      </c>
      <c r="E59" s="92" t="n">
        <v>0.37</v>
      </c>
      <c r="F59" s="93"/>
      <c r="G59" s="94" t="n">
        <v>0.28</v>
      </c>
      <c r="H59" s="93"/>
      <c r="I59" s="95" t="n">
        <v>0.17</v>
      </c>
    </row>
    <row r="60" customFormat="false" ht="18" hidden="false" customHeight="false" outlineLevel="0" collapsed="false">
      <c r="B60" s="90"/>
      <c r="D60" s="91" t="s">
        <v>46</v>
      </c>
      <c r="E60" s="96" t="n">
        <v>0.63</v>
      </c>
      <c r="F60" s="97"/>
      <c r="G60" s="98" t="n">
        <v>0.72</v>
      </c>
      <c r="H60" s="97"/>
      <c r="I60" s="99" t="n">
        <v>0.83</v>
      </c>
    </row>
    <row r="61" customFormat="false" ht="18" hidden="false" customHeight="false" outlineLevel="0" collapsed="false">
      <c r="B61" s="90"/>
      <c r="D61" s="91"/>
      <c r="E61" s="100"/>
      <c r="G61" s="100"/>
      <c r="I61" s="100"/>
    </row>
    <row r="62" customFormat="false" ht="18" hidden="false" customHeight="false" outlineLevel="0" collapsed="false">
      <c r="B62" s="90"/>
    </row>
    <row r="63" customFormat="false" ht="18" hidden="false" customHeight="false" outlineLevel="0" collapsed="false">
      <c r="B63" s="83" t="s">
        <v>47</v>
      </c>
    </row>
    <row r="65" customFormat="false" ht="18" hidden="false" customHeight="false" outlineLevel="0" collapsed="false">
      <c r="D65" s="91" t="s">
        <v>48</v>
      </c>
      <c r="E65" s="101" t="n">
        <v>0.0672297328710556</v>
      </c>
      <c r="F65" s="93"/>
      <c r="G65" s="102" t="n">
        <v>0.103194683790207</v>
      </c>
      <c r="H65" s="93"/>
      <c r="I65" s="103" t="n">
        <v>0.186443382501602</v>
      </c>
    </row>
    <row r="66" customFormat="false" ht="18" hidden="false" customHeight="false" outlineLevel="0" collapsed="false">
      <c r="D66" s="91" t="s">
        <v>49</v>
      </c>
      <c r="E66" s="104" t="n">
        <v>0.0423056036233902</v>
      </c>
      <c r="F66" s="105"/>
      <c r="G66" s="106" t="n">
        <v>0.0747820228338242</v>
      </c>
      <c r="H66" s="105"/>
      <c r="I66" s="107" t="n">
        <v>0.169894105195999</v>
      </c>
    </row>
    <row r="67" customFormat="false" ht="18" hidden="false" customHeight="false" outlineLevel="0" collapsed="false">
      <c r="D67" s="91" t="s">
        <v>50</v>
      </c>
      <c r="E67" s="108" t="n">
        <v>0.0045883446931839</v>
      </c>
      <c r="F67" s="97"/>
      <c r="G67" s="109" t="n">
        <v>0.0388668924570084</v>
      </c>
      <c r="H67" s="97"/>
      <c r="I67" s="110" t="n">
        <v>0.149694567918778</v>
      </c>
    </row>
    <row r="68" customFormat="false" ht="18" hidden="false" customHeight="false" outlineLevel="0" collapsed="false">
      <c r="D68" s="91"/>
      <c r="E68" s="106"/>
      <c r="G68" s="106"/>
      <c r="I68" s="106"/>
    </row>
    <row r="70" customFormat="false" ht="18" hidden="false" customHeight="false" outlineLevel="0" collapsed="false">
      <c r="B70" s="83" t="s">
        <v>51</v>
      </c>
      <c r="E70" s="84" t="n">
        <v>48073.1355256726</v>
      </c>
      <c r="G70" s="84" t="n">
        <v>32200</v>
      </c>
      <c r="I70" s="84" t="n">
        <v>13019.1422285231</v>
      </c>
    </row>
    <row r="71" customFormat="false" ht="18" hidden="false" customHeight="false" outlineLevel="0" collapsed="false">
      <c r="B71" s="83" t="s">
        <v>52</v>
      </c>
      <c r="E71" s="100" t="n">
        <f aca="false">+E70/E46</f>
        <v>0.37</v>
      </c>
      <c r="G71" s="100" t="n">
        <f aca="false">+G70/G46</f>
        <v>0.28</v>
      </c>
      <c r="I71" s="100" t="n">
        <f aca="false">+I70/I46</f>
        <v>0.100203516039954</v>
      </c>
    </row>
  </sheetData>
  <mergeCells count="6">
    <mergeCell ref="A1:J1"/>
    <mergeCell ref="A2:J2"/>
    <mergeCell ref="G9:G10"/>
    <mergeCell ref="I9:I10"/>
    <mergeCell ref="G43:G44"/>
    <mergeCell ref="I43:I44"/>
  </mergeCells>
  <printOptions headings="false" gridLines="false" gridLinesSet="true" horizontalCentered="false" verticalCentered="false"/>
  <pageMargins left="0.5" right="0.5" top="0.75" bottom="0.984027777777778" header="0.5" footer="0.5"/>
  <pageSetup paperSize="1" scale="47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&amp;C&amp;"Arial,Bold"&amp;20SANTEE COOPER
5 X LM6000s</oddHeader>
    <oddFooter>&amp;L&amp;D&amp;CSantee Cooper&amp;R&amp;P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70"/>
  <sheetViews>
    <sheetView showFormulas="false" showGridLines="false" showRowColHeaders="true" showZeros="true" rightToLeft="false" tabSelected="false" showOutlineSymbols="true" defaultGridColor="true" view="pageBreakPreview" topLeftCell="H10" colorId="64" zoomScale="85" zoomScaleNormal="75" zoomScalePageLayoutView="85" workbookViewId="0">
      <selection pane="topLeft" activeCell="J57" activeCellId="0" sqref="J57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3.14"/>
    <col collapsed="false" customWidth="true" hidden="false" outlineLevel="0" max="2" min="2" style="1" width="54.41"/>
    <col collapsed="false" customWidth="true" hidden="false" outlineLevel="0" max="3" min="3" style="1" width="21.56"/>
    <col collapsed="false" customWidth="true" hidden="false" outlineLevel="0" max="4" min="4" style="1" width="23.7"/>
    <col collapsed="false" customWidth="true" hidden="false" outlineLevel="0" max="5" min="5" style="1" width="17.85"/>
    <col collapsed="false" customWidth="true" hidden="false" outlineLevel="0" max="6" min="6" style="1" width="20.13"/>
    <col collapsed="false" customWidth="true" hidden="false" outlineLevel="0" max="7" min="7" style="1" width="10.13"/>
    <col collapsed="false" customWidth="true" hidden="false" outlineLevel="0" max="8" min="8" style="1" width="34.99"/>
    <col collapsed="false" customWidth="true" hidden="false" outlineLevel="0" max="10" min="9" style="1" width="14.41"/>
    <col collapsed="false" customWidth="true" hidden="false" outlineLevel="0" max="11" min="11" style="1" width="11.99"/>
    <col collapsed="false" customWidth="true" hidden="false" outlineLevel="0" max="12" min="12" style="1" width="11.42"/>
    <col collapsed="false" customWidth="true" hidden="false" outlineLevel="0" max="13" min="13" style="1" width="12.56"/>
    <col collapsed="false" customWidth="true" hidden="false" outlineLevel="0" max="14" min="14" style="1" width="31.99"/>
    <col collapsed="false" customWidth="true" hidden="false" outlineLevel="0" max="15" min="15" style="1" width="23.14"/>
    <col collapsed="false" customWidth="true" hidden="false" outlineLevel="0" max="17" min="16" style="1" width="12.85"/>
    <col collapsed="false" customWidth="true" hidden="false" outlineLevel="0" max="18" min="18" style="1" width="2.13"/>
    <col collapsed="false" customWidth="true" hidden="false" outlineLevel="0" max="19" min="19" style="1" width="17.56"/>
    <col collapsed="false" customWidth="true" hidden="false" outlineLevel="0" max="26" min="20" style="1" width="12.85"/>
    <col collapsed="false" customWidth="true" hidden="false" outlineLevel="0" max="34" min="27" style="1" width="11.99"/>
    <col collapsed="false" customWidth="false" hidden="false" outlineLevel="0" max="35" min="35" style="1" width="9.14"/>
    <col collapsed="false" customWidth="true" hidden="false" outlineLevel="0" max="38" min="36" style="1" width="9.99"/>
    <col collapsed="false" customWidth="true" hidden="false" outlineLevel="0" max="39" min="39" style="1" width="11.99"/>
    <col collapsed="false" customWidth="true" hidden="false" outlineLevel="0" max="40" min="40" style="1" width="17.56"/>
    <col collapsed="false" customWidth="true" hidden="false" outlineLevel="0" max="41" min="41" style="1" width="22.42"/>
    <col collapsed="false" customWidth="true" hidden="false" outlineLevel="0" max="42" min="42" style="1" width="18.99"/>
    <col collapsed="false" customWidth="true" hidden="false" outlineLevel="0" max="43" min="43" style="1" width="10.28"/>
    <col collapsed="false" customWidth="true" hidden="false" outlineLevel="0" max="63" min="44" style="1" width="13.14"/>
    <col collapsed="false" customWidth="false" hidden="false" outlineLevel="0" max="64" min="64" style="1" width="9.14"/>
    <col collapsed="false" customWidth="true" hidden="false" outlineLevel="0" max="74" min="65" style="1" width="9.99"/>
    <col collapsed="false" customWidth="false" hidden="false" outlineLevel="0" max="75" min="75" style="1" width="9.14"/>
    <col collapsed="false" customWidth="true" hidden="false" outlineLevel="0" max="81" min="76" style="1" width="9.99"/>
    <col collapsed="false" customWidth="false" hidden="false" outlineLevel="0" max="82" min="82" style="1" width="9.14"/>
    <col collapsed="false" customWidth="true" hidden="false" outlineLevel="0" max="88" min="83" style="1" width="9.99"/>
    <col collapsed="false" customWidth="false" hidden="false" outlineLevel="0" max="257" min="89" style="1" width="9.14"/>
  </cols>
  <sheetData>
    <row r="1" customFormat="false" ht="25.5" hidden="true" customHeight="false" outlineLevel="0" collapsed="false">
      <c r="B1" s="111" t="s">
        <v>54</v>
      </c>
      <c r="K1" s="112"/>
      <c r="AM1" s="112"/>
    </row>
    <row r="2" customFormat="false" ht="13.5" hidden="false" customHeight="true" outlineLevel="0" collapsed="false">
      <c r="B2" s="111"/>
      <c r="K2" s="112"/>
      <c r="AM2" s="112"/>
    </row>
    <row r="3" customFormat="false" ht="19.5" hidden="false" customHeight="true" outlineLevel="0" collapsed="false">
      <c r="B3" s="113" t="s">
        <v>55</v>
      </c>
      <c r="K3" s="112"/>
      <c r="AM3" s="112"/>
    </row>
    <row r="4" customFormat="false" ht="19.5" hidden="false" customHeight="true" outlineLevel="0" collapsed="false">
      <c r="A4" s="114"/>
      <c r="B4" s="115"/>
      <c r="C4" s="114"/>
      <c r="D4" s="0"/>
      <c r="E4" s="0"/>
      <c r="F4" s="116"/>
      <c r="G4" s="114"/>
      <c r="H4" s="114"/>
      <c r="I4" s="114"/>
      <c r="J4" s="114"/>
      <c r="K4" s="117"/>
      <c r="L4" s="114"/>
      <c r="M4" s="114"/>
      <c r="N4" s="114"/>
      <c r="O4" s="114"/>
      <c r="P4" s="114"/>
      <c r="Q4" s="114"/>
      <c r="R4" s="114"/>
      <c r="S4" s="114"/>
      <c r="T4" s="114"/>
      <c r="U4" s="114"/>
      <c r="V4" s="114"/>
      <c r="W4" s="114"/>
      <c r="X4" s="114"/>
      <c r="Y4" s="114"/>
      <c r="Z4" s="114"/>
      <c r="AA4" s="114"/>
      <c r="AB4" s="114"/>
      <c r="AC4" s="114"/>
      <c r="AD4" s="114"/>
      <c r="AE4" s="114"/>
      <c r="AF4" s="114"/>
      <c r="AG4" s="114"/>
      <c r="AH4" s="114"/>
      <c r="AI4" s="114"/>
      <c r="AJ4" s="114"/>
      <c r="AK4" s="114"/>
      <c r="AL4" s="114"/>
      <c r="AM4" s="117"/>
      <c r="AN4" s="114"/>
      <c r="AO4" s="114"/>
      <c r="AP4" s="114"/>
      <c r="AQ4" s="114"/>
      <c r="AR4" s="114"/>
      <c r="AS4" s="114"/>
      <c r="AT4" s="114"/>
      <c r="AU4" s="114"/>
      <c r="AV4" s="114"/>
      <c r="AW4" s="114"/>
      <c r="AX4" s="114"/>
      <c r="AY4" s="114"/>
      <c r="AZ4" s="114"/>
      <c r="BA4" s="114"/>
      <c r="BB4" s="114"/>
      <c r="BC4" s="114"/>
      <c r="BD4" s="114"/>
      <c r="BE4" s="114"/>
      <c r="BF4" s="114"/>
      <c r="BG4" s="114"/>
      <c r="BH4" s="114"/>
      <c r="BI4" s="114"/>
      <c r="BJ4" s="114"/>
      <c r="BK4" s="114"/>
      <c r="BL4" s="114"/>
      <c r="BM4" s="114"/>
      <c r="BN4" s="114"/>
      <c r="BO4" s="114"/>
      <c r="BP4" s="114"/>
      <c r="BQ4" s="114"/>
      <c r="BR4" s="114"/>
      <c r="BS4" s="114"/>
      <c r="BT4" s="114"/>
      <c r="BU4" s="114"/>
      <c r="BV4" s="114"/>
      <c r="BW4" s="114"/>
      <c r="BX4" s="114"/>
      <c r="BY4" s="114"/>
      <c r="BZ4" s="114"/>
      <c r="CA4" s="114"/>
      <c r="CB4" s="114"/>
      <c r="CC4" s="114"/>
      <c r="CD4" s="114"/>
      <c r="CE4" s="114"/>
      <c r="CF4" s="114"/>
      <c r="CG4" s="114"/>
      <c r="CH4" s="114"/>
      <c r="CI4" s="114"/>
      <c r="CJ4" s="114"/>
      <c r="CK4" s="114"/>
      <c r="CL4" s="114"/>
      <c r="CM4" s="114"/>
      <c r="CN4" s="114"/>
      <c r="CO4" s="114"/>
      <c r="CP4" s="114"/>
      <c r="CQ4" s="114"/>
      <c r="CR4" s="114"/>
      <c r="CS4" s="114"/>
      <c r="CT4" s="114"/>
      <c r="CU4" s="114"/>
      <c r="CV4" s="114"/>
      <c r="CW4" s="114"/>
      <c r="CX4" s="114"/>
      <c r="CY4" s="114"/>
      <c r="CZ4" s="114"/>
      <c r="DA4" s="114"/>
      <c r="DB4" s="114"/>
      <c r="DC4" s="114"/>
      <c r="DD4" s="114"/>
      <c r="DE4" s="114"/>
      <c r="DF4" s="114"/>
      <c r="DG4" s="114"/>
      <c r="DH4" s="114"/>
      <c r="DI4" s="114"/>
      <c r="DJ4" s="114"/>
      <c r="DK4" s="114"/>
      <c r="DL4" s="114"/>
      <c r="DM4" s="114"/>
      <c r="DN4" s="114"/>
      <c r="DO4" s="114"/>
      <c r="DP4" s="114"/>
      <c r="DQ4" s="114"/>
      <c r="DR4" s="114"/>
      <c r="DS4" s="114"/>
      <c r="DT4" s="114"/>
      <c r="DU4" s="114"/>
      <c r="DV4" s="114"/>
      <c r="DW4" s="114"/>
      <c r="DX4" s="114"/>
      <c r="DY4" s="114"/>
      <c r="DZ4" s="114"/>
      <c r="EA4" s="114"/>
      <c r="EB4" s="114"/>
      <c r="EC4" s="114"/>
      <c r="ED4" s="114"/>
      <c r="EE4" s="114"/>
      <c r="EF4" s="114"/>
      <c r="EG4" s="114"/>
      <c r="EH4" s="114"/>
      <c r="EI4" s="114"/>
      <c r="EJ4" s="114"/>
      <c r="EK4" s="114"/>
      <c r="EL4" s="114"/>
      <c r="EM4" s="114"/>
      <c r="EN4" s="114"/>
      <c r="EO4" s="114"/>
      <c r="EP4" s="114"/>
      <c r="EQ4" s="114"/>
      <c r="ER4" s="114"/>
      <c r="ES4" s="114"/>
      <c r="ET4" s="114"/>
      <c r="EU4" s="114"/>
      <c r="EV4" s="114"/>
      <c r="EW4" s="114"/>
      <c r="EX4" s="114"/>
      <c r="EY4" s="114"/>
      <c r="EZ4" s="114"/>
      <c r="FA4" s="114"/>
      <c r="FB4" s="114"/>
      <c r="FC4" s="114"/>
      <c r="FD4" s="114"/>
      <c r="FE4" s="114"/>
      <c r="FF4" s="114"/>
      <c r="FG4" s="114"/>
      <c r="FH4" s="114"/>
      <c r="FI4" s="114"/>
      <c r="FJ4" s="114"/>
      <c r="FK4" s="114"/>
      <c r="FL4" s="114"/>
      <c r="FM4" s="114"/>
      <c r="FN4" s="114"/>
      <c r="FO4" s="114"/>
      <c r="FP4" s="114"/>
      <c r="FQ4" s="114"/>
      <c r="FR4" s="114"/>
      <c r="FS4" s="114"/>
      <c r="FT4" s="114"/>
      <c r="FU4" s="114"/>
      <c r="FV4" s="114"/>
      <c r="FW4" s="114"/>
      <c r="FX4" s="114"/>
      <c r="FY4" s="114"/>
      <c r="FZ4" s="114"/>
      <c r="GA4" s="114"/>
      <c r="GB4" s="114"/>
      <c r="GC4" s="114"/>
      <c r="GD4" s="114"/>
      <c r="GE4" s="114"/>
      <c r="GF4" s="114"/>
      <c r="GG4" s="114"/>
      <c r="GH4" s="114"/>
      <c r="GI4" s="114"/>
      <c r="GJ4" s="114"/>
      <c r="GK4" s="114"/>
      <c r="GL4" s="114"/>
      <c r="GM4" s="114"/>
      <c r="GN4" s="114"/>
      <c r="GO4" s="114"/>
      <c r="GP4" s="114"/>
      <c r="GQ4" s="114"/>
      <c r="GR4" s="114"/>
      <c r="GS4" s="114"/>
      <c r="GT4" s="114"/>
      <c r="GU4" s="114"/>
      <c r="GV4" s="114"/>
      <c r="GW4" s="114"/>
      <c r="GX4" s="114"/>
      <c r="GY4" s="114"/>
      <c r="GZ4" s="114"/>
      <c r="HA4" s="114"/>
      <c r="HB4" s="114"/>
      <c r="HC4" s="114"/>
      <c r="HD4" s="114"/>
      <c r="HE4" s="114"/>
      <c r="HF4" s="114"/>
      <c r="HG4" s="114"/>
      <c r="HH4" s="114"/>
      <c r="HI4" s="114"/>
      <c r="HJ4" s="114"/>
      <c r="HK4" s="114"/>
      <c r="HL4" s="114"/>
      <c r="HM4" s="114"/>
      <c r="HN4" s="114"/>
      <c r="HO4" s="114"/>
      <c r="HP4" s="114"/>
      <c r="HQ4" s="114"/>
      <c r="HR4" s="114"/>
      <c r="HS4" s="114"/>
      <c r="HT4" s="114"/>
      <c r="HU4" s="114"/>
      <c r="HV4" s="114"/>
      <c r="HW4" s="114"/>
      <c r="HX4" s="114"/>
      <c r="HY4" s="114"/>
      <c r="HZ4" s="114"/>
      <c r="IA4" s="114"/>
      <c r="IB4" s="114"/>
      <c r="IC4" s="114"/>
      <c r="ID4" s="114"/>
      <c r="IE4" s="114"/>
      <c r="IF4" s="114"/>
      <c r="IG4" s="114"/>
      <c r="IH4" s="114"/>
      <c r="II4" s="114"/>
      <c r="IJ4" s="114"/>
      <c r="IK4" s="114"/>
      <c r="IL4" s="114"/>
      <c r="IM4" s="114"/>
      <c r="IN4" s="114"/>
      <c r="IO4" s="114"/>
      <c r="IP4" s="114"/>
      <c r="IQ4" s="114"/>
      <c r="IR4" s="114"/>
      <c r="IS4" s="114"/>
      <c r="IT4" s="114"/>
      <c r="IU4" s="114"/>
      <c r="IV4" s="114"/>
      <c r="IW4" s="114"/>
    </row>
    <row r="5" customFormat="false" ht="19.5" hidden="false" customHeight="true" outlineLevel="0" collapsed="false">
      <c r="B5" s="2" t="s">
        <v>56</v>
      </c>
      <c r="C5" s="114"/>
      <c r="D5" s="0"/>
      <c r="E5" s="0"/>
      <c r="F5" s="118"/>
    </row>
    <row r="6" customFormat="false" ht="12.75" hidden="false" customHeight="false" outlineLevel="0" collapsed="false">
      <c r="D6" s="0"/>
      <c r="E6" s="0"/>
      <c r="F6" s="118"/>
    </row>
    <row r="7" customFormat="false" ht="13.5" hidden="false" customHeight="false" outlineLevel="0" collapsed="false"/>
    <row r="8" customFormat="false" ht="15.75" hidden="false" customHeight="false" outlineLevel="0" collapsed="false">
      <c r="B8" s="119" t="s">
        <v>57</v>
      </c>
      <c r="C8" s="11"/>
      <c r="D8" s="11"/>
      <c r="E8" s="120"/>
      <c r="F8" s="121"/>
      <c r="G8" s="39"/>
      <c r="H8" s="122" t="s">
        <v>58</v>
      </c>
      <c r="I8" s="123"/>
      <c r="J8" s="124"/>
      <c r="K8" s="125"/>
      <c r="L8" s="126"/>
      <c r="N8" s="122" t="s">
        <v>59</v>
      </c>
      <c r="O8" s="127" t="str">
        <f aca="false">IF($Q$16=1,"SENSITIVITY IS ACTIVE","")</f>
        <v/>
      </c>
      <c r="P8" s="128"/>
      <c r="Q8" s="126"/>
    </row>
    <row r="9" customFormat="false" ht="15.75" hidden="false" customHeight="false" outlineLevel="0" collapsed="false">
      <c r="B9" s="52"/>
      <c r="C9" s="39"/>
      <c r="D9" s="39"/>
      <c r="E9" s="39"/>
      <c r="F9" s="53"/>
      <c r="G9" s="39"/>
      <c r="H9" s="129"/>
      <c r="I9" s="130"/>
      <c r="J9" s="130"/>
      <c r="K9" s="39"/>
      <c r="L9" s="53"/>
      <c r="N9" s="131"/>
      <c r="O9" s="132"/>
      <c r="P9" s="133"/>
      <c r="Q9" s="53"/>
      <c r="T9" s="134" t="s">
        <v>60</v>
      </c>
      <c r="U9" s="134" t="s">
        <v>61</v>
      </c>
    </row>
    <row r="10" customFormat="false" ht="15.75" hidden="false" customHeight="false" outlineLevel="0" collapsed="false">
      <c r="B10" s="135" t="s">
        <v>62</v>
      </c>
      <c r="C10" s="18" t="s">
        <v>63</v>
      </c>
      <c r="D10" s="136" t="s">
        <v>64</v>
      </c>
      <c r="E10" s="137" t="s">
        <v>65</v>
      </c>
      <c r="F10" s="53"/>
      <c r="G10" s="39"/>
      <c r="H10" s="129" t="s">
        <v>66</v>
      </c>
      <c r="I10" s="39"/>
      <c r="J10" s="138" t="s">
        <v>67</v>
      </c>
      <c r="K10" s="39"/>
      <c r="L10" s="53"/>
      <c r="N10" s="14" t="s">
        <v>68</v>
      </c>
      <c r="O10" s="39"/>
      <c r="P10" s="139" t="n">
        <f aca="false">+NetMW*J12</f>
        <v>230</v>
      </c>
      <c r="Q10" s="53"/>
      <c r="R10" s="5" t="s">
        <v>69</v>
      </c>
      <c r="S10" s="5"/>
      <c r="T10" s="140" t="n">
        <v>25000</v>
      </c>
      <c r="U10" s="140" t="n">
        <v>1400</v>
      </c>
    </row>
    <row r="11" customFormat="false" ht="15.75" hidden="false" customHeight="false" outlineLevel="0" collapsed="false">
      <c r="B11" s="141" t="s">
        <v>70</v>
      </c>
      <c r="C11" s="142" t="n">
        <f aca="false">1-C12</f>
        <v>0.39</v>
      </c>
      <c r="D11" s="143" t="n">
        <f aca="false">D14-D12</f>
        <v>50555.6630818846</v>
      </c>
      <c r="E11" s="144" t="n">
        <f aca="false">D11/$P$12</f>
        <v>219.807230790802</v>
      </c>
      <c r="F11" s="53"/>
      <c r="G11" s="39"/>
      <c r="H11" s="129" t="s">
        <v>71</v>
      </c>
      <c r="I11" s="130"/>
      <c r="J11" s="145" t="n">
        <v>5</v>
      </c>
      <c r="K11" s="133"/>
      <c r="L11" s="53"/>
      <c r="N11" s="14" t="s">
        <v>72</v>
      </c>
      <c r="O11" s="39"/>
      <c r="P11" s="145" t="n">
        <v>0</v>
      </c>
      <c r="Q11" s="53"/>
      <c r="R11" s="5"/>
      <c r="S11" s="5"/>
      <c r="T11" s="140" t="n">
        <v>50000</v>
      </c>
      <c r="U11" s="140" t="n">
        <v>3000</v>
      </c>
    </row>
    <row r="12" customFormat="false" ht="15.75" hidden="false" customHeight="false" outlineLevel="0" collapsed="false">
      <c r="B12" s="141" t="s">
        <v>73</v>
      </c>
      <c r="C12" s="146" t="n">
        <v>0.61</v>
      </c>
      <c r="D12" s="143" t="n">
        <f aca="false">D14*C12</f>
        <v>79074.242256281</v>
      </c>
      <c r="E12" s="144" t="n">
        <f aca="false">D12/$P$12</f>
        <v>343.801053288178</v>
      </c>
      <c r="F12" s="53"/>
      <c r="G12" s="39"/>
      <c r="H12" s="129" t="s">
        <v>74</v>
      </c>
      <c r="I12" s="130"/>
      <c r="J12" s="147" t="n">
        <v>46</v>
      </c>
      <c r="K12" s="133"/>
      <c r="L12" s="53"/>
      <c r="N12" s="14" t="s">
        <v>75</v>
      </c>
      <c r="O12" s="39"/>
      <c r="P12" s="148" t="n">
        <f aca="false">SUM(P10:P11)</f>
        <v>230</v>
      </c>
      <c r="Q12" s="53"/>
    </row>
    <row r="13" customFormat="false" ht="15.75" hidden="false" customHeight="false" outlineLevel="0" collapsed="false">
      <c r="B13" s="149"/>
      <c r="C13" s="150"/>
      <c r="D13" s="151"/>
      <c r="E13" s="144"/>
      <c r="F13" s="53"/>
      <c r="G13" s="39"/>
      <c r="H13" s="129" t="s">
        <v>76</v>
      </c>
      <c r="I13" s="130"/>
      <c r="J13" s="145" t="n">
        <v>10915</v>
      </c>
      <c r="K13" s="133"/>
      <c r="L13" s="53"/>
      <c r="N13" s="14" t="s">
        <v>77</v>
      </c>
      <c r="O13" s="39"/>
      <c r="P13" s="145" t="n">
        <v>0</v>
      </c>
      <c r="Q13" s="53"/>
    </row>
    <row r="14" customFormat="false" ht="15.75" hidden="false" customHeight="false" outlineLevel="0" collapsed="false">
      <c r="B14" s="152" t="s">
        <v>78</v>
      </c>
      <c r="C14" s="153" t="n">
        <f aca="false">+C12+C11</f>
        <v>1</v>
      </c>
      <c r="D14" s="154" t="n">
        <f aca="false">+D43</f>
        <v>129629.905338166</v>
      </c>
      <c r="E14" s="155" t="n">
        <f aca="false">D14/$P$12</f>
        <v>563.608284078981</v>
      </c>
      <c r="F14" s="53"/>
      <c r="G14" s="39"/>
      <c r="H14" s="129" t="s">
        <v>79</v>
      </c>
      <c r="I14" s="130"/>
      <c r="J14" s="145" t="n">
        <v>1400</v>
      </c>
      <c r="K14" s="133"/>
      <c r="L14" s="53"/>
      <c r="N14" s="14" t="s">
        <v>80</v>
      </c>
      <c r="O14" s="39"/>
      <c r="P14" s="145" t="n">
        <v>100</v>
      </c>
      <c r="Q14" s="156" t="n">
        <v>280</v>
      </c>
    </row>
    <row r="15" customFormat="false" ht="15.75" hidden="false" customHeight="false" outlineLevel="0" collapsed="false">
      <c r="B15" s="52"/>
      <c r="C15" s="157" t="str">
        <f aca="false">IF($Q$16=1,"SENSITIVITY IS ACTIVE","")</f>
        <v/>
      </c>
      <c r="D15" s="39"/>
      <c r="E15" s="158"/>
      <c r="F15" s="53"/>
      <c r="G15" s="39"/>
      <c r="H15" s="129"/>
      <c r="I15" s="130"/>
      <c r="J15" s="159"/>
      <c r="K15" s="133"/>
      <c r="L15" s="53"/>
      <c r="N15" s="14" t="s">
        <v>81</v>
      </c>
      <c r="O15" s="39"/>
      <c r="P15" s="145" t="n">
        <v>0</v>
      </c>
      <c r="Q15" s="53"/>
    </row>
    <row r="16" customFormat="false" ht="15.75" hidden="false" customHeight="false" outlineLevel="0" collapsed="false">
      <c r="B16" s="52"/>
      <c r="C16" s="39"/>
      <c r="D16" s="39"/>
      <c r="E16" s="158"/>
      <c r="F16" s="53"/>
      <c r="G16" s="39"/>
      <c r="H16" s="129" t="s">
        <v>82</v>
      </c>
      <c r="I16" s="130"/>
      <c r="J16" s="160" t="n">
        <v>37256</v>
      </c>
      <c r="K16" s="133"/>
      <c r="L16" s="53"/>
      <c r="N16" s="14" t="s">
        <v>83</v>
      </c>
      <c r="O16" s="39"/>
      <c r="P16" s="161" t="n">
        <v>500</v>
      </c>
      <c r="Q16" s="162" t="n">
        <v>0</v>
      </c>
      <c r="R16" s="157" t="str">
        <f aca="false">IF($Q$16=1,"SENSITIVITY IS ACTIVE","")</f>
        <v/>
      </c>
    </row>
    <row r="17" customFormat="false" ht="16.5" hidden="false" customHeight="false" outlineLevel="0" collapsed="false">
      <c r="B17" s="135" t="s">
        <v>84</v>
      </c>
      <c r="C17" s="18"/>
      <c r="D17" s="18"/>
      <c r="E17" s="144"/>
      <c r="F17" s="53"/>
      <c r="G17" s="39"/>
      <c r="H17" s="14" t="s">
        <v>85</v>
      </c>
      <c r="I17" s="15"/>
      <c r="J17" s="163" t="n">
        <f aca="false">(J16-J18)/365*12</f>
        <v>8.02191780821918</v>
      </c>
      <c r="K17" s="133"/>
      <c r="L17" s="53"/>
      <c r="N17" s="35" t="s">
        <v>86</v>
      </c>
      <c r="O17" s="36"/>
      <c r="P17" s="164" t="n">
        <v>8760</v>
      </c>
      <c r="Q17" s="55"/>
    </row>
    <row r="18" customFormat="false" ht="16.5" hidden="false" customHeight="false" outlineLevel="0" collapsed="false">
      <c r="B18" s="165"/>
      <c r="C18" s="166"/>
      <c r="D18" s="39"/>
      <c r="E18" s="158"/>
      <c r="F18" s="53"/>
      <c r="G18" s="39"/>
      <c r="H18" s="129" t="s">
        <v>87</v>
      </c>
      <c r="I18" s="130"/>
      <c r="J18" s="160" t="n">
        <v>37012</v>
      </c>
      <c r="K18" s="133"/>
      <c r="L18" s="53"/>
    </row>
    <row r="19" customFormat="false" ht="15.75" hidden="false" customHeight="false" outlineLevel="0" collapsed="false">
      <c r="B19" s="141" t="s">
        <v>88</v>
      </c>
      <c r="C19" s="39"/>
      <c r="D19" s="39"/>
      <c r="E19" s="158"/>
      <c r="F19" s="53"/>
      <c r="G19" s="39"/>
      <c r="H19" s="129" t="s">
        <v>89</v>
      </c>
      <c r="I19" s="39"/>
      <c r="J19" s="160" t="n">
        <v>46022</v>
      </c>
      <c r="K19" s="133"/>
      <c r="L19" s="53"/>
      <c r="N19" s="167" t="s">
        <v>90</v>
      </c>
      <c r="O19" s="12"/>
      <c r="P19" s="11"/>
      <c r="Q19" s="126"/>
    </row>
    <row r="20" customFormat="false" ht="15.75" hidden="false" customHeight="false" outlineLevel="0" collapsed="false">
      <c r="B20" s="14" t="s">
        <v>91</v>
      </c>
      <c r="C20" s="168" t="n">
        <f aca="false">D20/$D$43</f>
        <v>0.551614860541972</v>
      </c>
      <c r="D20" s="169" t="n">
        <f aca="false">+IDC!D43</f>
        <v>71505.7821551813</v>
      </c>
      <c r="E20" s="144" t="n">
        <f aca="false">D20/$P$12</f>
        <v>310.894705022527</v>
      </c>
      <c r="F20" s="53"/>
      <c r="G20" s="39"/>
      <c r="H20" s="129" t="s">
        <v>92</v>
      </c>
      <c r="I20" s="170"/>
      <c r="J20" s="171" t="n">
        <f aca="false">(J19-J18)/365.25</f>
        <v>24.6680355920602</v>
      </c>
      <c r="K20" s="133"/>
      <c r="L20" s="53"/>
      <c r="N20" s="52"/>
      <c r="O20" s="39"/>
      <c r="P20" s="39"/>
      <c r="Q20" s="172" t="s">
        <v>93</v>
      </c>
    </row>
    <row r="21" customFormat="false" ht="15.75" hidden="false" customHeight="false" outlineLevel="0" collapsed="false">
      <c r="B21" s="14" t="s">
        <v>94</v>
      </c>
      <c r="C21" s="168" t="n">
        <f aca="false">D21/$D$43</f>
        <v>0.305809063862123</v>
      </c>
      <c r="D21" s="169" t="n">
        <v>39642</v>
      </c>
      <c r="E21" s="144" t="n">
        <f aca="false">D21/$P$12</f>
        <v>172.35652173913</v>
      </c>
      <c r="F21" s="53"/>
      <c r="G21" s="39"/>
      <c r="H21" s="129" t="s">
        <v>95</v>
      </c>
      <c r="I21" s="173"/>
      <c r="J21" s="159" t="n">
        <v>0.2</v>
      </c>
      <c r="K21" s="174"/>
      <c r="L21" s="53"/>
      <c r="N21" s="175" t="s">
        <v>96</v>
      </c>
      <c r="O21" s="39"/>
      <c r="P21" s="176" t="n">
        <v>0</v>
      </c>
      <c r="Q21" s="177"/>
    </row>
    <row r="22" customFormat="false" ht="16.5" hidden="false" customHeight="false" outlineLevel="0" collapsed="false">
      <c r="B22" s="14" t="s">
        <v>97</v>
      </c>
      <c r="C22" s="168" t="n">
        <f aca="false">D22/$D$43</f>
        <v>0.00308570772273975</v>
      </c>
      <c r="D22" s="169" t="n">
        <v>400</v>
      </c>
      <c r="E22" s="144" t="n">
        <f aca="false">D22/$P$12</f>
        <v>1.73913043478261</v>
      </c>
      <c r="F22" s="53"/>
      <c r="G22" s="39"/>
      <c r="H22" s="178" t="s">
        <v>98</v>
      </c>
      <c r="I22" s="179"/>
      <c r="J22" s="180" t="n">
        <v>5</v>
      </c>
      <c r="K22" s="181"/>
      <c r="L22" s="182"/>
      <c r="N22" s="14"/>
      <c r="O22" s="39"/>
      <c r="P22" s="39"/>
      <c r="Q22" s="177"/>
    </row>
    <row r="23" customFormat="false" ht="16.5" hidden="false" customHeight="false" outlineLevel="0" collapsed="false">
      <c r="B23" s="14" t="s">
        <v>99</v>
      </c>
      <c r="C23" s="168" t="n">
        <f aca="false">D23/$D$43</f>
        <v>0.0102985495246439</v>
      </c>
      <c r="D23" s="169" t="n">
        <v>1335</v>
      </c>
      <c r="E23" s="144" t="n">
        <f aca="false">D23/$P$12</f>
        <v>5.80434782608696</v>
      </c>
      <c r="F23" s="53"/>
      <c r="G23" s="39"/>
      <c r="N23" s="175" t="s">
        <v>100</v>
      </c>
      <c r="O23" s="39"/>
      <c r="P23" s="15"/>
      <c r="Q23" s="177"/>
    </row>
    <row r="24" customFormat="false" ht="15.75" hidden="false" customHeight="false" outlineLevel="0" collapsed="false">
      <c r="B24" s="14" t="s">
        <v>101</v>
      </c>
      <c r="C24" s="168" t="n">
        <f aca="false">D24/$D$43</f>
        <v>0.0219008105621454</v>
      </c>
      <c r="D24" s="169" t="n">
        <f aca="false">4613-1774</f>
        <v>2839</v>
      </c>
      <c r="E24" s="144" t="n">
        <f aca="false">D24/$P$12</f>
        <v>12.3434782608696</v>
      </c>
      <c r="F24" s="53"/>
      <c r="G24" s="39"/>
      <c r="H24" s="167" t="s">
        <v>102</v>
      </c>
      <c r="I24" s="12"/>
      <c r="J24" s="12"/>
      <c r="K24" s="12"/>
      <c r="L24" s="13"/>
      <c r="N24" s="52"/>
      <c r="O24" s="39"/>
      <c r="P24" s="39"/>
      <c r="Q24" s="177"/>
      <c r="R24" s="0"/>
      <c r="S24" s="0"/>
      <c r="T24" s="0"/>
      <c r="U24" s="0"/>
      <c r="AC24" s="0"/>
    </row>
    <row r="25" customFormat="false" ht="15.75" hidden="false" customHeight="false" outlineLevel="0" collapsed="false">
      <c r="B25" s="14" t="s">
        <v>103</v>
      </c>
      <c r="C25" s="168" t="n">
        <f aca="false">D25/$D$43</f>
        <v>0</v>
      </c>
      <c r="D25" s="169" t="n">
        <v>0</v>
      </c>
      <c r="E25" s="144" t="n">
        <f aca="false">D25/$P$12</f>
        <v>0</v>
      </c>
      <c r="F25" s="53"/>
      <c r="G25" s="39"/>
      <c r="H25" s="14"/>
      <c r="I25" s="15"/>
      <c r="J25" s="15"/>
      <c r="K25" s="15"/>
      <c r="L25" s="16"/>
      <c r="N25" s="14" t="s">
        <v>104</v>
      </c>
      <c r="O25" s="39"/>
      <c r="P25" s="183" t="n">
        <f aca="false">0.35917*236/225.4</f>
        <v>0.376060869565217</v>
      </c>
      <c r="Q25" s="184" t="n">
        <f aca="false">(IS!E59/Assumptions!P12)</f>
        <v>4.42247582608696</v>
      </c>
      <c r="R25" s="0"/>
      <c r="S25" s="0"/>
      <c r="T25" s="0"/>
      <c r="U25" s="0"/>
      <c r="AC25" s="0"/>
    </row>
    <row r="26" customFormat="false" ht="15.75" hidden="false" customHeight="false" outlineLevel="0" collapsed="false">
      <c r="B26" s="14" t="s">
        <v>105</v>
      </c>
      <c r="C26" s="168" t="n">
        <f aca="false">D26/$D$43</f>
        <v>0</v>
      </c>
      <c r="D26" s="169" t="n">
        <v>0</v>
      </c>
      <c r="E26" s="144" t="n">
        <f aca="false">D26/$P$12</f>
        <v>0</v>
      </c>
      <c r="F26" s="53"/>
      <c r="G26" s="39"/>
      <c r="H26" s="185" t="s">
        <v>106</v>
      </c>
      <c r="I26" s="186"/>
      <c r="J26" s="18" t="s">
        <v>107</v>
      </c>
      <c r="K26" s="18" t="s">
        <v>108</v>
      </c>
      <c r="L26" s="53"/>
      <c r="N26" s="14" t="s">
        <v>109</v>
      </c>
      <c r="O26" s="39"/>
      <c r="P26" s="187"/>
      <c r="Q26" s="184" t="n">
        <f aca="false">+IS!E60/Assumptions!P12</f>
        <v>0.434835130434783</v>
      </c>
      <c r="R26" s="0"/>
      <c r="S26" s="0"/>
      <c r="T26" s="0"/>
      <c r="U26" s="0"/>
      <c r="AC26" s="0"/>
    </row>
    <row r="27" customFormat="false" ht="15.75" hidden="false" customHeight="false" outlineLevel="0" collapsed="false">
      <c r="B27" s="14" t="s">
        <v>110</v>
      </c>
      <c r="C27" s="168" t="n">
        <f aca="false">D27/$D$43</f>
        <v>0</v>
      </c>
      <c r="D27" s="169" t="n">
        <v>0</v>
      </c>
      <c r="E27" s="144" t="n">
        <f aca="false">D27/$P$12</f>
        <v>0</v>
      </c>
      <c r="F27" s="53"/>
      <c r="G27" s="39"/>
      <c r="H27" s="52"/>
      <c r="I27" s="15"/>
      <c r="J27" s="188" t="n">
        <f aca="false">Debt!B113</f>
        <v>1.35577437041003</v>
      </c>
      <c r="K27" s="188" t="n">
        <f aca="false">Debt!B114</f>
        <v>1.27226630004003</v>
      </c>
      <c r="L27" s="53"/>
      <c r="N27" s="189" t="s">
        <v>111</v>
      </c>
      <c r="O27" s="39"/>
      <c r="P27" s="190" t="n">
        <f aca="false">(0.3027*236/225.4)</f>
        <v>0.316935226264419</v>
      </c>
      <c r="Q27" s="191"/>
      <c r="R27" s="0"/>
      <c r="S27" s="0"/>
      <c r="T27" s="0"/>
      <c r="U27" s="0"/>
      <c r="AC27" s="0"/>
    </row>
    <row r="28" customFormat="false" ht="15.75" hidden="false" customHeight="false" outlineLevel="0" collapsed="false">
      <c r="B28" s="14" t="s">
        <v>112</v>
      </c>
      <c r="C28" s="168" t="n">
        <f aca="false">D28/$D$43</f>
        <v>0.0103525494097919</v>
      </c>
      <c r="D28" s="169" t="n">
        <v>1342</v>
      </c>
      <c r="E28" s="144" t="n">
        <f aca="false">D28/$P$12</f>
        <v>5.83478260869565</v>
      </c>
      <c r="F28" s="53"/>
      <c r="G28" s="39"/>
      <c r="H28" s="52"/>
      <c r="I28" s="39"/>
      <c r="J28" s="39"/>
      <c r="K28" s="39"/>
      <c r="L28" s="53"/>
      <c r="N28" s="189" t="s">
        <v>113</v>
      </c>
      <c r="O28" s="39"/>
      <c r="P28" s="190" t="n">
        <f aca="false">(0.3027*236/225.4)</f>
        <v>0.316935226264419</v>
      </c>
      <c r="Q28" s="191"/>
      <c r="R28" s="0"/>
      <c r="S28" s="0"/>
      <c r="T28" s="0"/>
      <c r="U28" s="0"/>
      <c r="AC28" s="0"/>
    </row>
    <row r="29" customFormat="false" ht="15.75" hidden="false" customHeight="false" outlineLevel="0" collapsed="false">
      <c r="B29" s="14" t="s">
        <v>114</v>
      </c>
      <c r="C29" s="168" t="n">
        <f aca="false">D29/$D$43</f>
        <v>0.0378693480273236</v>
      </c>
      <c r="D29" s="169" t="n">
        <v>4909</v>
      </c>
      <c r="E29" s="144" t="n">
        <f aca="false">D29/$P$12</f>
        <v>21.3434782608696</v>
      </c>
      <c r="F29" s="53"/>
      <c r="G29" s="39"/>
      <c r="H29" s="185" t="s">
        <v>115</v>
      </c>
      <c r="I29" s="3"/>
      <c r="J29" s="192" t="s">
        <v>116</v>
      </c>
      <c r="K29" s="3"/>
      <c r="L29" s="193"/>
      <c r="N29" s="194" t="s">
        <v>117</v>
      </c>
      <c r="O29" s="39"/>
      <c r="P29" s="190" t="n">
        <f aca="false">+(1.2076*236/225.4)</f>
        <v>1.26439041703638</v>
      </c>
      <c r="Q29" s="184" t="n">
        <f aca="false">P29/$P$12</f>
        <v>0.00549734963928861</v>
      </c>
      <c r="R29" s="0"/>
      <c r="S29" s="0" t="s">
        <v>118</v>
      </c>
      <c r="T29" s="0" t="s">
        <v>119</v>
      </c>
      <c r="U29" s="0"/>
      <c r="V29" s="1" t="n">
        <f aca="false">56.67*5</f>
        <v>283.35</v>
      </c>
      <c r="AC29" s="0"/>
    </row>
    <row r="30" customFormat="false" ht="15.75" hidden="false" customHeight="false" outlineLevel="0" collapsed="false">
      <c r="B30" s="14" t="s">
        <v>120</v>
      </c>
      <c r="C30" s="195" t="n">
        <f aca="false">D30/$D$43</f>
        <v>0.0119031175404686</v>
      </c>
      <c r="D30" s="196" t="n">
        <v>1543</v>
      </c>
      <c r="E30" s="155" t="n">
        <f aca="false">D30/$P$12</f>
        <v>6.70869565217391</v>
      </c>
      <c r="F30" s="53"/>
      <c r="G30" s="39"/>
      <c r="H30" s="14" t="s">
        <v>121</v>
      </c>
      <c r="I30" s="15"/>
      <c r="J30" s="197" t="n">
        <f aca="false">E31</f>
        <v>537.025139805136</v>
      </c>
      <c r="K30" s="3"/>
      <c r="L30" s="193"/>
      <c r="N30" s="14" t="s">
        <v>122</v>
      </c>
      <c r="O30" s="39"/>
      <c r="P30" s="187" t="n">
        <f aca="false">255.76*5/8</f>
        <v>159.85</v>
      </c>
      <c r="Q30" s="184" t="n">
        <f aca="false">+P30/P12</f>
        <v>0.695</v>
      </c>
      <c r="R30" s="0"/>
      <c r="S30" s="0"/>
      <c r="T30" s="0"/>
      <c r="U30" s="0"/>
      <c r="AC30" s="0"/>
    </row>
    <row r="31" customFormat="false" ht="15.75" hidden="false" customHeight="false" outlineLevel="0" collapsed="false">
      <c r="B31" s="14" t="s">
        <v>123</v>
      </c>
      <c r="C31" s="168" t="n">
        <f aca="false">D31/$D$43</f>
        <v>0.952834007191208</v>
      </c>
      <c r="D31" s="151" t="n">
        <f aca="false">SUM(D20:D30)</f>
        <v>123515.782155181</v>
      </c>
      <c r="E31" s="144" t="n">
        <f aca="false">D31/$P$12</f>
        <v>537.025139805136</v>
      </c>
      <c r="F31" s="53"/>
      <c r="G31" s="39"/>
      <c r="H31" s="14" t="s">
        <v>124</v>
      </c>
      <c r="I31" s="39"/>
      <c r="J31" s="197" t="n">
        <f aca="false">SUM(E34:E36)+SUM(E39:E41)</f>
        <v>26.5831442738446</v>
      </c>
      <c r="K31" s="198"/>
      <c r="L31" s="193"/>
      <c r="N31" s="14" t="s">
        <v>125</v>
      </c>
      <c r="O31" s="39"/>
      <c r="P31" s="199" t="n">
        <f aca="false">+U32</f>
        <v>1.52838427947598</v>
      </c>
      <c r="Q31" s="184" t="n">
        <f aca="false">+P31/P12</f>
        <v>0.00664514904119992</v>
      </c>
      <c r="R31" s="0"/>
      <c r="S31" s="0" t="n">
        <v>458</v>
      </c>
      <c r="T31" s="0" t="s">
        <v>126</v>
      </c>
      <c r="U31" s="0"/>
      <c r="AC31" s="0"/>
    </row>
    <row r="32" customFormat="false" ht="16.5" hidden="false" customHeight="false" outlineLevel="0" collapsed="false">
      <c r="B32" s="52"/>
      <c r="C32" s="39"/>
      <c r="D32" s="39"/>
      <c r="E32" s="158"/>
      <c r="F32" s="53"/>
      <c r="G32" s="39"/>
      <c r="H32" s="14" t="s">
        <v>3</v>
      </c>
      <c r="I32" s="39"/>
      <c r="J32" s="197" t="n">
        <f aca="false">SUM(Q21:Q40)</f>
        <v>6.42345353672397</v>
      </c>
      <c r="K32" s="198"/>
      <c r="L32" s="193"/>
      <c r="N32" s="14" t="s">
        <v>127</v>
      </c>
      <c r="O32" s="39"/>
      <c r="P32" s="187" t="n">
        <f aca="false">44.11203*5/8</f>
        <v>27.57001875</v>
      </c>
      <c r="Q32" s="184" t="n">
        <f aca="false">+P32/P12</f>
        <v>0.11986964673913</v>
      </c>
      <c r="R32" s="0"/>
      <c r="S32" s="0" t="n">
        <v>700</v>
      </c>
      <c r="T32" s="0" t="s">
        <v>128</v>
      </c>
      <c r="U32" s="200" t="n">
        <f aca="false">+S32/S31</f>
        <v>1.52838427947598</v>
      </c>
      <c r="AC32" s="0"/>
    </row>
    <row r="33" customFormat="false" ht="16.5" hidden="false" customHeight="false" outlineLevel="0" collapsed="false">
      <c r="B33" s="141" t="s">
        <v>129</v>
      </c>
      <c r="C33" s="39"/>
      <c r="D33" s="39"/>
      <c r="E33" s="158"/>
      <c r="F33" s="53"/>
      <c r="G33" s="39"/>
      <c r="H33" s="175" t="s">
        <v>130</v>
      </c>
      <c r="I33" s="198"/>
      <c r="J33" s="201" t="n">
        <f aca="false">SUM(J25:J32)</f>
        <v>571.387511986115</v>
      </c>
      <c r="K33" s="198"/>
      <c r="L33" s="193"/>
      <c r="N33" s="14" t="s">
        <v>131</v>
      </c>
      <c r="O33" s="39"/>
      <c r="P33" s="187" t="n">
        <v>0</v>
      </c>
      <c r="Q33" s="184" t="n">
        <f aca="false">+P33/P12</f>
        <v>0</v>
      </c>
      <c r="R33" s="0"/>
      <c r="S33" s="0"/>
      <c r="T33" s="0"/>
      <c r="U33" s="0"/>
      <c r="AC33" s="0"/>
    </row>
    <row r="34" customFormat="false" ht="15.75" hidden="false" customHeight="false" outlineLevel="0" collapsed="false">
      <c r="B34" s="141" t="s">
        <v>132</v>
      </c>
      <c r="C34" s="168" t="n">
        <f aca="false">D34/$D$43</f>
        <v>0.00385713465342469</v>
      </c>
      <c r="D34" s="169" t="n">
        <v>500</v>
      </c>
      <c r="E34" s="144" t="n">
        <f aca="false">D34/$P$12</f>
        <v>2.17391304347826</v>
      </c>
      <c r="F34" s="53"/>
      <c r="G34" s="39"/>
      <c r="H34" s="52"/>
      <c r="I34" s="39"/>
      <c r="J34" s="39"/>
      <c r="K34" s="39"/>
      <c r="L34" s="53"/>
      <c r="N34" s="14" t="s">
        <v>133</v>
      </c>
      <c r="O34" s="39"/>
      <c r="P34" s="187" t="n">
        <v>0</v>
      </c>
      <c r="Q34" s="184" t="n">
        <f aca="false">+P34/P12</f>
        <v>0</v>
      </c>
      <c r="R34" s="0"/>
      <c r="S34" s="0"/>
      <c r="T34" s="0"/>
      <c r="U34" s="0"/>
      <c r="AC34" s="0"/>
    </row>
    <row r="35" customFormat="false" ht="15.75" hidden="false" customHeight="false" outlineLevel="0" collapsed="false">
      <c r="B35" s="141" t="s">
        <v>134</v>
      </c>
      <c r="C35" s="168" t="n">
        <f aca="false">D35/$D$43</f>
        <v>0.00308570772273975</v>
      </c>
      <c r="D35" s="169" t="n">
        <v>400</v>
      </c>
      <c r="E35" s="144" t="n">
        <f aca="false">D35/$P$12</f>
        <v>1.73913043478261</v>
      </c>
      <c r="F35" s="53"/>
      <c r="G35" s="39"/>
      <c r="H35" s="185"/>
      <c r="I35" s="39"/>
      <c r="J35" s="39"/>
      <c r="K35" s="39"/>
      <c r="L35" s="53"/>
      <c r="N35" s="14" t="s">
        <v>135</v>
      </c>
      <c r="O35" s="39"/>
      <c r="P35" s="187" t="n">
        <v>160</v>
      </c>
      <c r="Q35" s="184" t="n">
        <f aca="false">+P35/P12</f>
        <v>0.695652173913044</v>
      </c>
      <c r="R35" s="0"/>
      <c r="S35" s="0"/>
      <c r="T35" s="0"/>
      <c r="U35" s="0"/>
      <c r="AC35" s="0"/>
    </row>
    <row r="36" customFormat="false" ht="15.75" hidden="false" customHeight="false" outlineLevel="0" collapsed="false">
      <c r="B36" s="14" t="s">
        <v>136</v>
      </c>
      <c r="C36" s="195" t="n">
        <f aca="false">D36/$D$43</f>
        <v>0</v>
      </c>
      <c r="D36" s="196" t="n">
        <v>0</v>
      </c>
      <c r="E36" s="155" t="n">
        <f aca="false">D36/$P$12</f>
        <v>0</v>
      </c>
      <c r="F36" s="53"/>
      <c r="G36" s="39"/>
      <c r="H36" s="14"/>
      <c r="I36" s="15"/>
      <c r="J36" s="202"/>
      <c r="K36" s="39"/>
      <c r="L36" s="53"/>
      <c r="N36" s="14"/>
      <c r="O36" s="39"/>
      <c r="P36" s="20"/>
      <c r="Q36" s="177"/>
      <c r="R36" s="0"/>
      <c r="S36" s="0"/>
      <c r="T36" s="0"/>
      <c r="U36" s="0"/>
      <c r="AC36" s="0"/>
    </row>
    <row r="37" customFormat="false" ht="15.75" hidden="false" customHeight="false" outlineLevel="0" collapsed="false">
      <c r="B37" s="14" t="s">
        <v>123</v>
      </c>
      <c r="C37" s="168" t="n">
        <f aca="false">D37/$D$43</f>
        <v>0.00694284237616444</v>
      </c>
      <c r="D37" s="197" t="n">
        <f aca="false">SUM(D34:D36)</f>
        <v>900</v>
      </c>
      <c r="E37" s="144" t="n">
        <f aca="false">D37/$P$12</f>
        <v>3.91304347826087</v>
      </c>
      <c r="F37" s="53"/>
      <c r="G37" s="39"/>
      <c r="H37" s="14"/>
      <c r="I37" s="39"/>
      <c r="J37" s="202"/>
      <c r="K37" s="15"/>
      <c r="L37" s="53"/>
      <c r="N37" s="175" t="s">
        <v>137</v>
      </c>
      <c r="O37" s="39"/>
      <c r="P37" s="20"/>
      <c r="Q37" s="177"/>
      <c r="R37" s="0"/>
      <c r="S37" s="0"/>
      <c r="T37" s="0"/>
      <c r="U37" s="0"/>
      <c r="AC37" s="0"/>
    </row>
    <row r="38" customFormat="false" ht="15.75" hidden="false" customHeight="false" outlineLevel="0" collapsed="false">
      <c r="B38" s="52"/>
      <c r="C38" s="39"/>
      <c r="D38" s="39"/>
      <c r="E38" s="144"/>
      <c r="F38" s="53"/>
      <c r="G38" s="39"/>
      <c r="H38" s="14"/>
      <c r="I38" s="15"/>
      <c r="J38" s="202"/>
      <c r="K38" s="15"/>
      <c r="L38" s="53"/>
      <c r="N38" s="14" t="s">
        <v>138</v>
      </c>
      <c r="O38" s="39"/>
      <c r="P38" s="187" t="n">
        <v>0</v>
      </c>
      <c r="Q38" s="184" t="n">
        <v>0</v>
      </c>
      <c r="R38" s="0"/>
      <c r="S38" s="0"/>
      <c r="T38" s="0"/>
      <c r="U38" s="0"/>
      <c r="AC38" s="0"/>
    </row>
    <row r="39" customFormat="false" ht="15.75" hidden="false" customHeight="false" outlineLevel="0" collapsed="false">
      <c r="B39" s="14" t="s">
        <v>139</v>
      </c>
      <c r="C39" s="168" t="n">
        <f aca="false">D39/$D$43</f>
        <v>0.0224803310268737</v>
      </c>
      <c r="D39" s="143" t="n">
        <f aca="false">+IDC!D16</f>
        <v>2914.12318298427</v>
      </c>
      <c r="E39" s="144" t="n">
        <f aca="false">D39/$P$12</f>
        <v>12.6701007955838</v>
      </c>
      <c r="F39" s="53"/>
      <c r="G39" s="39"/>
      <c r="H39" s="185" t="s">
        <v>140</v>
      </c>
      <c r="I39" s="18" t="n">
        <v>2000</v>
      </c>
      <c r="J39" s="18" t="n">
        <v>2001</v>
      </c>
      <c r="K39" s="18" t="n">
        <v>2002</v>
      </c>
      <c r="L39" s="19" t="n">
        <v>2003</v>
      </c>
      <c r="N39" s="14" t="s">
        <v>141</v>
      </c>
      <c r="O39" s="39"/>
      <c r="P39" s="187" t="n">
        <v>10</v>
      </c>
      <c r="Q39" s="184" t="n">
        <f aca="false">+P39/P12</f>
        <v>0.0434782608695652</v>
      </c>
      <c r="R39" s="0"/>
      <c r="S39" s="0"/>
      <c r="T39" s="0"/>
      <c r="U39" s="0"/>
      <c r="AC39" s="0"/>
    </row>
    <row r="40" customFormat="false" ht="16.5" hidden="false" customHeight="false" outlineLevel="0" collapsed="false">
      <c r="B40" s="14" t="s">
        <v>142</v>
      </c>
      <c r="C40" s="168" t="n">
        <f aca="false">D40/$D$43</f>
        <v>0.000771426930684937</v>
      </c>
      <c r="D40" s="169" t="n">
        <v>100</v>
      </c>
      <c r="E40" s="144" t="n">
        <f aca="false">D40/$P$12</f>
        <v>0.434782608695652</v>
      </c>
      <c r="F40" s="53"/>
      <c r="G40" s="39"/>
      <c r="H40" s="14" t="s">
        <v>143</v>
      </c>
      <c r="I40" s="197" t="n">
        <f aca="false">IS!E72</f>
        <v>10656.0590557205</v>
      </c>
      <c r="J40" s="197" t="n">
        <f aca="false">IS!F72</f>
        <v>10656.0590557205</v>
      </c>
      <c r="K40" s="197" t="n">
        <f aca="false">IS!G72</f>
        <v>10656.0590557205</v>
      </c>
      <c r="L40" s="203" t="n">
        <f aca="false">IS!H72</f>
        <v>10656.0590557205</v>
      </c>
      <c r="N40" s="35" t="s">
        <v>144</v>
      </c>
      <c r="O40" s="36"/>
      <c r="P40" s="204" t="n">
        <v>0</v>
      </c>
      <c r="Q40" s="205" t="n">
        <f aca="false">P36/$J$12</f>
        <v>0</v>
      </c>
      <c r="R40" s="0"/>
      <c r="S40" s="0"/>
      <c r="T40" s="0"/>
      <c r="U40" s="0"/>
      <c r="AA40" s="0"/>
      <c r="AB40" s="0"/>
      <c r="AC40" s="0"/>
    </row>
    <row r="41" customFormat="false" ht="16.5" hidden="false" customHeight="false" outlineLevel="0" collapsed="false">
      <c r="B41" s="141" t="s">
        <v>145</v>
      </c>
      <c r="C41" s="168" t="n">
        <f aca="false">D41/$D$43</f>
        <v>0.0169713924750686</v>
      </c>
      <c r="D41" s="169" t="n">
        <v>2200</v>
      </c>
      <c r="E41" s="144" t="n">
        <f aca="false">D41/$P$12</f>
        <v>9.56521739130435</v>
      </c>
      <c r="F41" s="53"/>
      <c r="G41" s="39"/>
      <c r="H41" s="14" t="s">
        <v>146</v>
      </c>
      <c r="I41" s="197" t="n">
        <f aca="false">IS!E85</f>
        <v>-1038.04315682348</v>
      </c>
      <c r="J41" s="197" t="n">
        <f aca="false">IS!F85</f>
        <v>-921.149296068364</v>
      </c>
      <c r="K41" s="197" t="n">
        <f aca="false">IS!G85</f>
        <v>-794.923480165635</v>
      </c>
      <c r="L41" s="203" t="n">
        <f aca="false">IS!H85</f>
        <v>-658.620713729609</v>
      </c>
      <c r="P41" s="206"/>
      <c r="R41" s="0"/>
      <c r="S41" s="0"/>
      <c r="T41" s="0"/>
      <c r="U41" s="0"/>
      <c r="AC41" s="0"/>
    </row>
    <row r="42" customFormat="false" ht="15.75" hidden="false" customHeight="false" outlineLevel="0" collapsed="false">
      <c r="B42" s="14"/>
      <c r="C42" s="39"/>
      <c r="D42" s="143"/>
      <c r="E42" s="144"/>
      <c r="F42" s="53"/>
      <c r="G42" s="39"/>
      <c r="H42" s="14" t="s">
        <v>147</v>
      </c>
      <c r="I42" s="197" t="n">
        <f aca="false">CF!D18</f>
        <v>6468.23334054388</v>
      </c>
      <c r="J42" s="197" t="n">
        <f aca="false">CF!E18</f>
        <v>2280.40762536724</v>
      </c>
      <c r="K42" s="197" t="n">
        <f aca="false">CF!F18</f>
        <v>2280.40762536724</v>
      </c>
      <c r="L42" s="203" t="n">
        <f aca="false">CF!G18</f>
        <v>2280.40762536724</v>
      </c>
      <c r="N42" s="122" t="s">
        <v>148</v>
      </c>
      <c r="O42" s="124"/>
      <c r="P42" s="124"/>
      <c r="Q42" s="13"/>
      <c r="R42" s="0"/>
      <c r="S42" s="0"/>
      <c r="T42" s="0"/>
      <c r="U42" s="0"/>
      <c r="AC42" s="0"/>
    </row>
    <row r="43" customFormat="false" ht="16.5" hidden="false" customHeight="false" outlineLevel="0" collapsed="false">
      <c r="B43" s="207" t="s">
        <v>149</v>
      </c>
      <c r="C43" s="208" t="n">
        <f aca="false">IF(Q16=1,"SENSITIVITY",C41+C40+C39+C37+C31)</f>
        <v>1</v>
      </c>
      <c r="D43" s="209" t="n">
        <f aca="false">IF(Q16=1,$P$16*$P$12,SUM(D39:D41,D37,D31))</f>
        <v>129629.905338166</v>
      </c>
      <c r="E43" s="210" t="n">
        <f aca="false">D43/P12</f>
        <v>563.608284078981</v>
      </c>
      <c r="F43" s="55"/>
      <c r="G43" s="39"/>
      <c r="H43" s="35" t="s">
        <v>150</v>
      </c>
      <c r="I43" s="181" t="n">
        <f aca="false">CF!D23</f>
        <v>9057.0556490759</v>
      </c>
      <c r="J43" s="181" t="n">
        <f aca="false">CF!E23</f>
        <v>4381.27198153232</v>
      </c>
      <c r="K43" s="181" t="n">
        <f aca="false">CF!F23</f>
        <v>3932.28391576475</v>
      </c>
      <c r="L43" s="211" t="n">
        <f aca="false">CF!G23</f>
        <v>3512.97587507813</v>
      </c>
      <c r="N43" s="52"/>
      <c r="O43" s="212"/>
      <c r="P43" s="39"/>
      <c r="Q43" s="53"/>
      <c r="R43" s="0"/>
      <c r="S43" s="0"/>
      <c r="T43" s="0"/>
      <c r="U43" s="0"/>
      <c r="AC43" s="0"/>
    </row>
    <row r="44" customFormat="false" ht="16.5" hidden="false" customHeight="false" outlineLevel="0" collapsed="false">
      <c r="B44" s="39"/>
      <c r="C44" s="39"/>
      <c r="D44" s="39"/>
      <c r="E44" s="39"/>
      <c r="F44" s="213"/>
      <c r="G44" s="39"/>
      <c r="L44" s="0"/>
      <c r="N44" s="14"/>
      <c r="O44" s="212" t="s">
        <v>151</v>
      </c>
      <c r="P44" s="212" t="s">
        <v>152</v>
      </c>
      <c r="Q44" s="19" t="s">
        <v>153</v>
      </c>
      <c r="R44" s="0"/>
      <c r="S44" s="0"/>
      <c r="T44" s="0"/>
      <c r="U44" s="0"/>
      <c r="AC44" s="0"/>
    </row>
    <row r="45" customFormat="false" ht="16.5" hidden="false" customHeight="false" outlineLevel="0" collapsed="false">
      <c r="B45" s="39"/>
      <c r="C45" s="39"/>
      <c r="D45" s="39"/>
      <c r="E45" s="39"/>
      <c r="F45" s="213"/>
      <c r="G45" s="39"/>
      <c r="H45" s="122" t="s">
        <v>154</v>
      </c>
      <c r="I45" s="123"/>
      <c r="J45" s="12"/>
      <c r="K45" s="128"/>
      <c r="L45" s="126"/>
      <c r="N45" s="214" t="s">
        <v>155</v>
      </c>
      <c r="O45" s="215"/>
      <c r="P45" s="215"/>
      <c r="Q45" s="16"/>
      <c r="R45" s="0"/>
      <c r="S45" s="0"/>
      <c r="T45" s="0"/>
      <c r="U45" s="0"/>
      <c r="AC45" s="0"/>
    </row>
    <row r="46" customFormat="false" ht="15.75" hidden="false" customHeight="false" outlineLevel="0" collapsed="false">
      <c r="B46" s="167" t="s">
        <v>156</v>
      </c>
      <c r="C46" s="11"/>
      <c r="D46" s="11"/>
      <c r="E46" s="216"/>
      <c r="F46" s="126"/>
      <c r="G46" s="39"/>
      <c r="H46" s="52"/>
      <c r="I46" s="39"/>
      <c r="J46" s="39"/>
      <c r="K46" s="133"/>
      <c r="L46" s="217"/>
      <c r="N46" s="129" t="s">
        <v>157</v>
      </c>
      <c r="O46" s="218" t="n">
        <v>15</v>
      </c>
      <c r="P46" s="219" t="s">
        <v>158</v>
      </c>
      <c r="Q46" s="220" t="n">
        <v>0</v>
      </c>
      <c r="R46" s="0"/>
      <c r="S46" s="0"/>
      <c r="T46" s="0"/>
      <c r="U46" s="0"/>
      <c r="AC46" s="0"/>
    </row>
    <row r="47" customFormat="false" ht="15.75" hidden="false" customHeight="false" outlineLevel="0" collapsed="false">
      <c r="B47" s="221" t="s">
        <v>159</v>
      </c>
      <c r="C47" s="39"/>
      <c r="D47" s="39"/>
      <c r="E47" s="198"/>
      <c r="F47" s="53"/>
      <c r="G47" s="39"/>
      <c r="H47" s="175" t="s">
        <v>160</v>
      </c>
      <c r="I47" s="39"/>
      <c r="J47" s="160" t="n">
        <v>37012</v>
      </c>
      <c r="K47" s="133"/>
      <c r="L47" s="53"/>
      <c r="N47" s="129" t="s">
        <v>161</v>
      </c>
      <c r="O47" s="218" t="n">
        <v>20</v>
      </c>
      <c r="P47" s="219" t="s">
        <v>162</v>
      </c>
      <c r="Q47" s="220" t="n">
        <v>0</v>
      </c>
      <c r="R47" s="0"/>
      <c r="S47" s="0"/>
      <c r="T47" s="0"/>
      <c r="U47" s="0"/>
      <c r="AC47" s="0"/>
    </row>
    <row r="48" customFormat="false" ht="15.75" hidden="false" customHeight="false" outlineLevel="0" collapsed="false">
      <c r="B48" s="222" t="s">
        <v>163</v>
      </c>
      <c r="C48" s="223" t="n">
        <v>36739</v>
      </c>
      <c r="D48" s="39"/>
      <c r="E48" s="39"/>
      <c r="F48" s="224"/>
      <c r="G48" s="225"/>
      <c r="H48" s="175" t="s">
        <v>164</v>
      </c>
      <c r="I48" s="39"/>
      <c r="J48" s="160" t="n">
        <v>37986</v>
      </c>
      <c r="K48" s="133"/>
      <c r="L48" s="53"/>
      <c r="N48" s="129"/>
      <c r="O48" s="226"/>
      <c r="P48" s="226"/>
      <c r="Q48" s="227"/>
      <c r="R48" s="0"/>
      <c r="S48" s="0"/>
      <c r="T48" s="0"/>
      <c r="U48" s="0"/>
      <c r="AC48" s="0"/>
    </row>
    <row r="49" customFormat="false" ht="15.75" hidden="false" customHeight="false" outlineLevel="0" collapsed="false">
      <c r="B49" s="222" t="s">
        <v>165</v>
      </c>
      <c r="C49" s="223" t="n">
        <v>36557</v>
      </c>
      <c r="D49" s="39"/>
      <c r="E49" s="39"/>
      <c r="F49" s="53"/>
      <c r="G49" s="198"/>
      <c r="H49" s="52"/>
      <c r="I49" s="39"/>
      <c r="J49" s="39"/>
      <c r="K49" s="133"/>
      <c r="L49" s="53"/>
      <c r="N49" s="214" t="s">
        <v>166</v>
      </c>
      <c r="O49" s="228"/>
      <c r="P49" s="226"/>
      <c r="Q49" s="220"/>
      <c r="R49" s="0"/>
      <c r="S49" s="0"/>
      <c r="T49" s="0"/>
      <c r="U49" s="0"/>
      <c r="AC49" s="0"/>
    </row>
    <row r="50" customFormat="false" ht="15.75" hidden="false" customHeight="false" outlineLevel="0" collapsed="false">
      <c r="B50" s="52"/>
      <c r="C50" s="39"/>
      <c r="D50" s="39"/>
      <c r="E50" s="39"/>
      <c r="F50" s="53"/>
      <c r="G50" s="39"/>
      <c r="H50" s="185" t="s">
        <v>167</v>
      </c>
      <c r="I50" s="39"/>
      <c r="J50" s="39"/>
      <c r="K50" s="133"/>
      <c r="L50" s="53"/>
      <c r="N50" s="129" t="s">
        <v>157</v>
      </c>
      <c r="O50" s="218" t="n">
        <v>30</v>
      </c>
      <c r="P50" s="219" t="s">
        <v>162</v>
      </c>
      <c r="Q50" s="229" t="n">
        <v>0</v>
      </c>
      <c r="R50" s="0"/>
      <c r="S50" s="0"/>
      <c r="T50" s="0"/>
      <c r="U50" s="0"/>
      <c r="AC50" s="0"/>
    </row>
    <row r="51" customFormat="false" ht="16.5" hidden="false" customHeight="false" outlineLevel="0" collapsed="false">
      <c r="B51" s="185" t="s">
        <v>168</v>
      </c>
      <c r="C51" s="230" t="s">
        <v>169</v>
      </c>
      <c r="D51" s="230" t="s">
        <v>170</v>
      </c>
      <c r="E51" s="230" t="s">
        <v>171</v>
      </c>
      <c r="F51" s="231" t="s">
        <v>130</v>
      </c>
      <c r="G51" s="232"/>
      <c r="H51" s="14" t="s">
        <v>172</v>
      </c>
      <c r="I51" s="39"/>
      <c r="J51" s="147" t="n">
        <f aca="false">(J48-J47)/365.25</f>
        <v>2.66666666666667</v>
      </c>
      <c r="K51" s="133"/>
      <c r="L51" s="53"/>
      <c r="N51" s="233" t="s">
        <v>161</v>
      </c>
      <c r="O51" s="234" t="n">
        <v>20</v>
      </c>
      <c r="P51" s="235" t="s">
        <v>162</v>
      </c>
      <c r="Q51" s="236" t="n">
        <v>0</v>
      </c>
      <c r="R51" s="0"/>
      <c r="S51" s="0"/>
      <c r="T51" s="0"/>
      <c r="U51" s="0"/>
      <c r="AA51" s="0"/>
      <c r="AB51" s="0"/>
      <c r="AC51" s="0"/>
    </row>
    <row r="52" customFormat="false" ht="16.5" hidden="false" customHeight="false" outlineLevel="0" collapsed="false">
      <c r="B52" s="237" t="s">
        <v>173</v>
      </c>
      <c r="C52" s="238" t="n">
        <f aca="false">+D12</f>
        <v>79074.242256281</v>
      </c>
      <c r="D52" s="238" t="n">
        <v>0</v>
      </c>
      <c r="E52" s="238" t="n">
        <v>0</v>
      </c>
      <c r="F52" s="239" t="n">
        <f aca="false">SUM(C52:E52)</f>
        <v>79074.242256281</v>
      </c>
      <c r="G52" s="232"/>
      <c r="H52" s="14" t="s">
        <v>174</v>
      </c>
      <c r="I52" s="15"/>
      <c r="J52" s="147" t="n">
        <v>4.5</v>
      </c>
      <c r="K52" s="133"/>
      <c r="L52" s="53"/>
      <c r="R52" s="0"/>
      <c r="S52" s="0"/>
      <c r="T52" s="0"/>
      <c r="U52" s="0"/>
      <c r="AA52" s="0"/>
      <c r="AB52" s="0"/>
      <c r="AC52" s="0"/>
    </row>
    <row r="53" customFormat="false" ht="15.75" hidden="false" customHeight="false" outlineLevel="0" collapsed="false">
      <c r="B53" s="237" t="s">
        <v>175</v>
      </c>
      <c r="C53" s="240" t="n">
        <v>18</v>
      </c>
      <c r="D53" s="240" t="n">
        <v>0</v>
      </c>
      <c r="E53" s="240" t="n">
        <v>0</v>
      </c>
      <c r="F53" s="241" t="n">
        <f aca="false">MAX(C53:E53)</f>
        <v>18</v>
      </c>
      <c r="G53" s="39"/>
      <c r="H53" s="14" t="s">
        <v>176</v>
      </c>
      <c r="I53" s="15"/>
      <c r="J53" s="147" t="n">
        <v>2.25</v>
      </c>
      <c r="K53" s="133"/>
      <c r="L53" s="53"/>
      <c r="N53" s="122" t="s">
        <v>177</v>
      </c>
      <c r="O53" s="124"/>
      <c r="P53" s="128"/>
      <c r="Q53" s="126"/>
      <c r="R53" s="0"/>
      <c r="S53" s="0"/>
      <c r="T53" s="0"/>
      <c r="U53" s="0"/>
      <c r="AA53" s="0"/>
      <c r="AB53" s="0"/>
      <c r="AC53" s="0"/>
    </row>
    <row r="54" customFormat="false" ht="15.75" hidden="false" customHeight="false" outlineLevel="0" collapsed="false">
      <c r="B54" s="237" t="s">
        <v>178</v>
      </c>
      <c r="C54" s="242" t="n">
        <v>43312</v>
      </c>
      <c r="D54" s="242" t="n">
        <v>0</v>
      </c>
      <c r="E54" s="242" t="n">
        <v>0</v>
      </c>
      <c r="F54" s="243" t="n">
        <f aca="false">MAX(C54:E54)</f>
        <v>43312</v>
      </c>
      <c r="G54" s="39"/>
      <c r="H54" s="14" t="s">
        <v>179</v>
      </c>
      <c r="I54" s="15"/>
      <c r="J54" s="145" t="n">
        <v>0</v>
      </c>
      <c r="K54" s="133"/>
      <c r="L54" s="53"/>
      <c r="N54" s="14"/>
      <c r="O54" s="130"/>
      <c r="P54" s="133"/>
      <c r="Q54" s="53"/>
      <c r="R54" s="0"/>
      <c r="S54" s="0"/>
      <c r="T54" s="0"/>
      <c r="U54" s="0"/>
      <c r="AA54" s="0"/>
      <c r="AB54" s="0"/>
      <c r="AC54" s="0"/>
    </row>
    <row r="55" customFormat="false" ht="15.75" hidden="false" customHeight="false" outlineLevel="0" collapsed="false">
      <c r="B55" s="237" t="s">
        <v>180</v>
      </c>
      <c r="C55" s="244" t="n">
        <f aca="false">IF(ISERROR(Debt!F9),"NA",Debt!F9)</f>
        <v>11.8204319606154</v>
      </c>
      <c r="D55" s="244" t="str">
        <f aca="false">IF(ISERROR(Debt!L9),"NA",Debt!L9)</f>
        <v>NA</v>
      </c>
      <c r="E55" s="244" t="str">
        <f aca="false">IF(ISERROR(Debt!R9),"NA",Debt!R9)</f>
        <v>NA</v>
      </c>
      <c r="F55" s="245"/>
      <c r="G55" s="39"/>
      <c r="H55" s="14" t="s">
        <v>181</v>
      </c>
      <c r="I55" s="170"/>
      <c r="J55" s="246" t="n">
        <v>0.02</v>
      </c>
      <c r="K55" s="133"/>
      <c r="L55" s="53"/>
      <c r="N55" s="14" t="s">
        <v>182</v>
      </c>
      <c r="O55" s="39"/>
      <c r="Q55" s="247" t="n">
        <v>0.35</v>
      </c>
      <c r="R55" s="0"/>
      <c r="S55" s="0"/>
      <c r="T55" s="0"/>
      <c r="U55" s="0"/>
      <c r="AA55" s="0"/>
      <c r="AB55" s="0"/>
      <c r="AC55" s="0"/>
    </row>
    <row r="56" customFormat="false" ht="15.75" hidden="false" customHeight="false" outlineLevel="0" collapsed="false">
      <c r="B56" s="237"/>
      <c r="C56" s="39"/>
      <c r="D56" s="39"/>
      <c r="E56" s="39"/>
      <c r="F56" s="239"/>
      <c r="G56" s="39"/>
      <c r="H56" s="14" t="s">
        <v>183</v>
      </c>
      <c r="I56" s="170"/>
      <c r="J56" s="248" t="n">
        <f aca="false">P12*(1-J55)</f>
        <v>225.4</v>
      </c>
      <c r="K56" s="133"/>
      <c r="L56" s="53"/>
      <c r="N56" s="14" t="s">
        <v>184</v>
      </c>
      <c r="O56" s="39"/>
      <c r="Q56" s="249" t="n">
        <v>0.06</v>
      </c>
      <c r="R56" s="0"/>
      <c r="S56" s="0"/>
      <c r="T56" s="0"/>
      <c r="U56" s="0"/>
      <c r="AA56" s="0"/>
      <c r="AB56" s="0"/>
      <c r="AC56" s="0"/>
    </row>
    <row r="57" customFormat="false" ht="15.75" hidden="false" customHeight="false" outlineLevel="0" collapsed="false">
      <c r="B57" s="185" t="s">
        <v>185</v>
      </c>
      <c r="C57" s="39"/>
      <c r="D57" s="186" t="s">
        <v>186</v>
      </c>
      <c r="F57" s="239"/>
      <c r="G57" s="39"/>
      <c r="H57" s="14" t="s">
        <v>187</v>
      </c>
      <c r="I57" s="39"/>
      <c r="J57" s="20" t="n">
        <f aca="false">J56*J14</f>
        <v>315560</v>
      </c>
      <c r="K57" s="133"/>
      <c r="L57" s="217"/>
      <c r="N57" s="250" t="s">
        <v>188</v>
      </c>
      <c r="O57" s="39"/>
      <c r="Q57" s="251" t="n">
        <v>0.0025</v>
      </c>
      <c r="R57" s="0"/>
      <c r="S57" s="0"/>
      <c r="T57" s="0"/>
      <c r="U57" s="0"/>
      <c r="AA57" s="0"/>
      <c r="AB57" s="0"/>
      <c r="AC57" s="0"/>
    </row>
    <row r="58" customFormat="false" ht="15.75" hidden="false" customHeight="false" outlineLevel="0" collapsed="false">
      <c r="B58" s="14" t="s">
        <v>189</v>
      </c>
      <c r="C58" s="252" t="n">
        <v>1</v>
      </c>
      <c r="D58" s="5" t="s">
        <v>190</v>
      </c>
      <c r="E58" s="252" t="n">
        <v>9</v>
      </c>
      <c r="F58" s="239" t="s">
        <v>191</v>
      </c>
      <c r="G58" s="39"/>
      <c r="H58" s="52"/>
      <c r="I58" s="39"/>
      <c r="J58" s="39"/>
      <c r="K58" s="133"/>
      <c r="L58" s="53"/>
      <c r="N58" s="14" t="s">
        <v>192</v>
      </c>
      <c r="O58" s="39"/>
      <c r="Q58" s="249" t="n">
        <v>0.03</v>
      </c>
      <c r="R58" s="0"/>
      <c r="S58" s="0"/>
      <c r="T58" s="0"/>
      <c r="U58" s="0"/>
      <c r="AA58" s="0"/>
      <c r="AB58" s="0"/>
      <c r="AC58" s="0"/>
    </row>
    <row r="59" customFormat="false" ht="15.75" hidden="false" customHeight="false" outlineLevel="0" collapsed="false">
      <c r="B59" s="14"/>
      <c r="D59" s="5" t="s">
        <v>193</v>
      </c>
      <c r="E59" s="242" t="n">
        <v>36739</v>
      </c>
      <c r="F59" s="239"/>
      <c r="G59" s="39"/>
      <c r="H59" s="175" t="s">
        <v>194</v>
      </c>
      <c r="I59" s="39"/>
      <c r="J59" s="160" t="n">
        <v>37987</v>
      </c>
      <c r="K59" s="133"/>
      <c r="L59" s="53"/>
      <c r="N59" s="250" t="s">
        <v>195</v>
      </c>
      <c r="O59" s="39"/>
      <c r="Q59" s="251" t="n">
        <v>0.01</v>
      </c>
      <c r="R59" s="0"/>
      <c r="S59" s="0"/>
      <c r="T59" s="0"/>
      <c r="U59" s="0"/>
      <c r="AA59" s="0"/>
      <c r="AB59" s="0"/>
      <c r="AC59" s="0"/>
    </row>
    <row r="60" customFormat="false" ht="15.75" hidden="false" customHeight="false" outlineLevel="0" collapsed="false">
      <c r="B60" s="237" t="s">
        <v>196</v>
      </c>
      <c r="F60" s="239"/>
      <c r="G60" s="39"/>
      <c r="H60" s="175" t="s">
        <v>197</v>
      </c>
      <c r="I60" s="39"/>
      <c r="J60" s="160" t="n">
        <v>43465</v>
      </c>
      <c r="K60" s="133"/>
      <c r="L60" s="53"/>
      <c r="N60" s="250" t="s">
        <v>198</v>
      </c>
      <c r="O60" s="39"/>
      <c r="Q60" s="253" t="n">
        <v>0</v>
      </c>
      <c r="R60" s="0"/>
      <c r="S60" s="0"/>
      <c r="T60" s="0"/>
      <c r="U60" s="0"/>
      <c r="X60" s="0"/>
      <c r="Y60" s="0"/>
      <c r="AA60" s="0"/>
      <c r="AB60" s="0"/>
      <c r="AC60" s="0"/>
    </row>
    <row r="61" customFormat="false" ht="15.75" hidden="false" customHeight="false" outlineLevel="0" collapsed="false">
      <c r="B61" s="254" t="s">
        <v>199</v>
      </c>
      <c r="C61" s="252" t="n">
        <v>35</v>
      </c>
      <c r="F61" s="239"/>
      <c r="G61" s="39"/>
      <c r="H61" s="52"/>
      <c r="I61" s="39"/>
      <c r="J61" s="39"/>
      <c r="K61" s="133"/>
      <c r="L61" s="53"/>
      <c r="N61" s="250" t="s">
        <v>200</v>
      </c>
      <c r="O61" s="39"/>
      <c r="Q61" s="253" t="n">
        <v>0</v>
      </c>
      <c r="R61" s="0"/>
      <c r="S61" s="0"/>
      <c r="T61" s="0"/>
      <c r="U61" s="0"/>
      <c r="AA61" s="0"/>
      <c r="AB61" s="0"/>
      <c r="AC61" s="0"/>
    </row>
    <row r="62" customFormat="false" ht="15.75" hidden="false" customHeight="false" outlineLevel="0" collapsed="false">
      <c r="B62" s="52"/>
      <c r="C62" s="255"/>
      <c r="F62" s="239"/>
      <c r="G62" s="39"/>
      <c r="H62" s="185" t="s">
        <v>201</v>
      </c>
      <c r="I62" s="39"/>
      <c r="J62" s="39"/>
      <c r="K62" s="133"/>
      <c r="L62" s="53"/>
      <c r="N62" s="250" t="s">
        <v>202</v>
      </c>
      <c r="O62" s="39"/>
      <c r="Q62" s="253" t="n">
        <v>0</v>
      </c>
      <c r="R62" s="0"/>
      <c r="S62" s="0"/>
      <c r="T62" s="0"/>
      <c r="U62" s="0"/>
      <c r="AA62" s="0"/>
      <c r="AB62" s="0"/>
      <c r="AC62" s="0"/>
    </row>
    <row r="63" customFormat="false" ht="15.75" hidden="false" customHeight="false" outlineLevel="0" collapsed="false">
      <c r="B63" s="237" t="s">
        <v>203</v>
      </c>
      <c r="F63" s="239"/>
      <c r="G63" s="39"/>
      <c r="H63" s="14" t="s">
        <v>172</v>
      </c>
      <c r="I63" s="39"/>
      <c r="J63" s="145" t="n">
        <v>15</v>
      </c>
      <c r="K63" s="133"/>
      <c r="L63" s="53"/>
      <c r="N63" s="250" t="s">
        <v>204</v>
      </c>
      <c r="O63" s="39"/>
      <c r="Q63" s="253" t="n">
        <v>0</v>
      </c>
      <c r="R63" s="0"/>
      <c r="S63" s="0"/>
      <c r="T63" s="0"/>
      <c r="U63" s="0"/>
      <c r="AA63" s="0"/>
      <c r="AB63" s="0"/>
      <c r="AC63" s="0"/>
    </row>
    <row r="64" customFormat="false" ht="15.75" hidden="false" customHeight="false" outlineLevel="0" collapsed="false">
      <c r="B64" s="194" t="s">
        <v>205</v>
      </c>
      <c r="F64" s="239"/>
      <c r="G64" s="39"/>
      <c r="H64" s="14" t="s">
        <v>174</v>
      </c>
      <c r="I64" s="15"/>
      <c r="J64" s="147" t="n">
        <v>4.5</v>
      </c>
      <c r="K64" s="133"/>
      <c r="L64" s="53"/>
      <c r="N64" s="250" t="s">
        <v>206</v>
      </c>
      <c r="O64" s="39"/>
      <c r="Q64" s="253" t="n">
        <v>0</v>
      </c>
      <c r="R64" s="0"/>
      <c r="S64" s="0"/>
      <c r="T64" s="0"/>
      <c r="U64" s="0"/>
      <c r="AA64" s="0"/>
      <c r="AB64" s="0"/>
      <c r="AC64" s="0"/>
    </row>
    <row r="65" customFormat="false" ht="15.75" hidden="false" customHeight="false" outlineLevel="0" collapsed="false">
      <c r="B65" s="52"/>
      <c r="F65" s="239"/>
      <c r="G65" s="39"/>
      <c r="H65" s="14" t="s">
        <v>176</v>
      </c>
      <c r="I65" s="15"/>
      <c r="J65" s="147" t="n">
        <v>2.25</v>
      </c>
      <c r="K65" s="133"/>
      <c r="L65" s="217"/>
      <c r="N65" s="250" t="s">
        <v>207</v>
      </c>
      <c r="O65" s="39"/>
      <c r="Q65" s="253" t="n">
        <v>0</v>
      </c>
      <c r="R65" s="0"/>
      <c r="S65" s="0"/>
      <c r="T65" s="0"/>
      <c r="U65" s="0"/>
      <c r="AA65" s="0"/>
      <c r="AB65" s="0"/>
      <c r="AC65" s="0"/>
    </row>
    <row r="66" customFormat="false" ht="15.75" hidden="false" customHeight="false" outlineLevel="0" collapsed="false">
      <c r="B66" s="256" t="s">
        <v>208</v>
      </c>
      <c r="C66" s="257" t="n">
        <v>0.0683</v>
      </c>
      <c r="D66" s="257" t="n">
        <v>0</v>
      </c>
      <c r="E66" s="257" t="n">
        <v>0</v>
      </c>
      <c r="F66" s="258" t="n">
        <f aca="false">SUMPRODUCT(C66:E66,$C$52:$E$52)/SUM($C$52:$E$52)</f>
        <v>0.0683</v>
      </c>
      <c r="G66" s="39"/>
      <c r="H66" s="14" t="s">
        <v>179</v>
      </c>
      <c r="I66" s="15"/>
      <c r="J66" s="145" t="n">
        <v>0</v>
      </c>
      <c r="K66" s="133"/>
      <c r="L66" s="217"/>
      <c r="N66" s="250" t="s">
        <v>209</v>
      </c>
      <c r="O66" s="39"/>
      <c r="Q66" s="253" t="n">
        <v>0</v>
      </c>
      <c r="R66" s="0"/>
      <c r="S66" s="0"/>
      <c r="T66" s="0"/>
      <c r="U66" s="0"/>
      <c r="AA66" s="0"/>
      <c r="AB66" s="0"/>
      <c r="AC66" s="0"/>
    </row>
    <row r="67" customFormat="false" ht="15.75" hidden="false" customHeight="false" outlineLevel="0" collapsed="false">
      <c r="B67" s="256" t="s">
        <v>210</v>
      </c>
      <c r="C67" s="259" t="n">
        <v>0.01</v>
      </c>
      <c r="D67" s="259" t="n">
        <v>0</v>
      </c>
      <c r="E67" s="259" t="n">
        <v>0</v>
      </c>
      <c r="F67" s="260" t="n">
        <f aca="false">SUMPRODUCT(C67:E67,$C$52:$E$52)/SUM($C$52:$E$52)</f>
        <v>0.01</v>
      </c>
      <c r="G67" s="39"/>
      <c r="H67" s="14" t="s">
        <v>181</v>
      </c>
      <c r="I67" s="170"/>
      <c r="J67" s="246" t="n">
        <v>0.02</v>
      </c>
      <c r="K67" s="133"/>
      <c r="L67" s="217"/>
      <c r="N67" s="250" t="s">
        <v>211</v>
      </c>
      <c r="O67" s="39"/>
      <c r="Q67" s="253" t="n">
        <v>0</v>
      </c>
      <c r="R67" s="0"/>
      <c r="S67" s="0"/>
      <c r="T67" s="0"/>
      <c r="U67" s="0"/>
      <c r="AA67" s="0"/>
      <c r="AB67" s="0"/>
      <c r="AC67" s="0"/>
    </row>
    <row r="68" customFormat="false" ht="16.5" hidden="false" customHeight="false" outlineLevel="0" collapsed="false">
      <c r="B68" s="237" t="s">
        <v>212</v>
      </c>
      <c r="C68" s="261" t="n">
        <f aca="false">Debt!F7</f>
        <v>0.0783</v>
      </c>
      <c r="D68" s="261" t="n">
        <f aca="false">Debt!L7</f>
        <v>0</v>
      </c>
      <c r="E68" s="261" t="n">
        <f aca="false">Debt!R7</f>
        <v>0</v>
      </c>
      <c r="F68" s="258" t="n">
        <f aca="false">SUMPRODUCT(C68:E68,$C$52:$E$52)/SUM($C$52:$E$52)</f>
        <v>0.0783</v>
      </c>
      <c r="G68" s="39"/>
      <c r="H68" s="14" t="s">
        <v>183</v>
      </c>
      <c r="I68" s="170"/>
      <c r="J68" s="248" t="n">
        <f aca="false">P12*(1-J55)</f>
        <v>225.4</v>
      </c>
      <c r="K68" s="133"/>
      <c r="L68" s="217"/>
      <c r="N68" s="262" t="s">
        <v>213</v>
      </c>
      <c r="O68" s="36"/>
      <c r="P68" s="36"/>
      <c r="Q68" s="263" t="n">
        <v>0</v>
      </c>
      <c r="R68" s="0"/>
      <c r="S68" s="0"/>
      <c r="T68" s="0"/>
      <c r="U68" s="0"/>
      <c r="AA68" s="0"/>
      <c r="AB68" s="0"/>
      <c r="AC68" s="0"/>
    </row>
    <row r="69" customFormat="false" ht="15.75" hidden="false" customHeight="false" outlineLevel="0" collapsed="false">
      <c r="B69" s="14"/>
      <c r="C69" s="15"/>
      <c r="D69" s="15"/>
      <c r="E69" s="15"/>
      <c r="F69" s="264"/>
      <c r="G69" s="39"/>
      <c r="H69" s="14" t="s">
        <v>187</v>
      </c>
      <c r="I69" s="39"/>
      <c r="J69" s="20" t="n">
        <f aca="false">J56*J14</f>
        <v>315560</v>
      </c>
      <c r="K69" s="133"/>
      <c r="L69" s="217"/>
      <c r="P69" s="0"/>
      <c r="Q69" s="0"/>
      <c r="R69" s="0"/>
      <c r="S69" s="0"/>
      <c r="T69" s="0"/>
      <c r="U69" s="0"/>
      <c r="X69" s="0"/>
      <c r="Y69" s="0"/>
      <c r="Z69" s="0"/>
      <c r="AA69" s="0"/>
      <c r="AB69" s="0"/>
      <c r="AC69" s="0"/>
    </row>
    <row r="70" customFormat="false" ht="15.75" hidden="false" customHeight="false" outlineLevel="0" collapsed="false">
      <c r="B70" s="14" t="s">
        <v>214</v>
      </c>
      <c r="C70" s="265" t="n">
        <f aca="false">MAX(Debt!B104:W104)*D70/12</f>
        <v>0</v>
      </c>
      <c r="D70" s="238" t="n">
        <v>0</v>
      </c>
      <c r="E70" s="15" t="s">
        <v>215</v>
      </c>
      <c r="F70" s="266"/>
      <c r="G70" s="39"/>
      <c r="H70" s="52"/>
      <c r="I70" s="39"/>
      <c r="J70" s="39"/>
      <c r="K70" s="39"/>
      <c r="L70" s="53"/>
      <c r="R70" s="0"/>
      <c r="S70" s="0"/>
      <c r="T70" s="0"/>
      <c r="U70" s="0"/>
      <c r="X70" s="0"/>
      <c r="Y70" s="0"/>
      <c r="Z70" s="0"/>
      <c r="AA70" s="0"/>
      <c r="AB70" s="0"/>
      <c r="AC70" s="0"/>
    </row>
    <row r="71" customFormat="false" ht="15.75" hidden="false" customHeight="false" outlineLevel="0" collapsed="false">
      <c r="B71" s="14" t="s">
        <v>216</v>
      </c>
      <c r="C71" s="267" t="n">
        <v>0</v>
      </c>
      <c r="D71" s="15"/>
      <c r="E71" s="15"/>
      <c r="F71" s="266"/>
      <c r="H71" s="175" t="s">
        <v>217</v>
      </c>
      <c r="I71" s="39"/>
      <c r="J71" s="160" t="n">
        <v>43466</v>
      </c>
      <c r="K71" s="268"/>
      <c r="L71" s="269"/>
      <c r="P71" s="0"/>
      <c r="Q71" s="0"/>
      <c r="R71" s="0"/>
      <c r="S71" s="0"/>
      <c r="T71" s="0"/>
      <c r="U71" s="0"/>
      <c r="X71" s="0"/>
      <c r="Y71" s="0"/>
      <c r="Z71" s="0"/>
      <c r="AA71" s="0"/>
      <c r="AB71" s="0"/>
      <c r="AC71" s="0"/>
    </row>
    <row r="72" customFormat="false" ht="16.5" hidden="false" customHeight="false" outlineLevel="0" collapsed="false">
      <c r="B72" s="35" t="s">
        <v>218</v>
      </c>
      <c r="C72" s="270" t="n">
        <v>0</v>
      </c>
      <c r="D72" s="36"/>
      <c r="E72" s="36"/>
      <c r="F72" s="55"/>
      <c r="G72" s="15"/>
      <c r="H72" s="271" t="s">
        <v>219</v>
      </c>
      <c r="I72" s="36"/>
      <c r="J72" s="272" t="n">
        <v>46022</v>
      </c>
      <c r="K72" s="273"/>
      <c r="L72" s="274"/>
      <c r="P72" s="0"/>
      <c r="Q72" s="0"/>
      <c r="R72" s="0"/>
      <c r="S72" s="0"/>
      <c r="T72" s="0"/>
      <c r="U72" s="0"/>
      <c r="X72" s="0"/>
      <c r="Y72" s="0"/>
      <c r="Z72" s="0"/>
      <c r="AA72" s="0"/>
      <c r="AB72" s="0"/>
      <c r="AC72" s="0"/>
    </row>
    <row r="73" customFormat="false" ht="15.75" hidden="false" customHeight="false" outlineLevel="0" collapsed="false">
      <c r="B73" s="52"/>
      <c r="C73" s="39"/>
      <c r="D73" s="39"/>
      <c r="E73" s="39"/>
      <c r="F73" s="53"/>
      <c r="G73" s="15"/>
      <c r="H73" s="52"/>
      <c r="K73" s="268"/>
      <c r="L73" s="269"/>
      <c r="M73" s="0"/>
      <c r="P73" s="0"/>
      <c r="Q73" s="0"/>
      <c r="R73" s="0"/>
      <c r="S73" s="0"/>
      <c r="T73" s="0"/>
      <c r="U73" s="0"/>
    </row>
    <row r="74" customFormat="false" ht="15.75" hidden="false" customHeight="false" outlineLevel="0" collapsed="false">
      <c r="B74" s="221" t="s">
        <v>25</v>
      </c>
      <c r="C74" s="39"/>
      <c r="D74" s="39"/>
      <c r="E74" s="39"/>
      <c r="F74" s="53"/>
      <c r="G74" s="39"/>
      <c r="H74" s="185" t="s">
        <v>113</v>
      </c>
      <c r="I74" s="39"/>
      <c r="J74" s="39"/>
      <c r="K74" s="268"/>
      <c r="L74" s="269"/>
      <c r="M74" s="0"/>
      <c r="R74" s="0"/>
      <c r="S74" s="0"/>
      <c r="T74" s="0"/>
      <c r="U74" s="0"/>
    </row>
    <row r="75" customFormat="false" ht="15.75" hidden="false" customHeight="false" outlineLevel="0" collapsed="false">
      <c r="B75" s="275" t="s">
        <v>220</v>
      </c>
      <c r="C75" s="223" t="n">
        <v>37377</v>
      </c>
      <c r="D75" s="39"/>
      <c r="E75" s="39"/>
      <c r="F75" s="53"/>
      <c r="G75" s="39"/>
      <c r="H75" s="14" t="s">
        <v>172</v>
      </c>
      <c r="I75" s="39"/>
      <c r="J75" s="276" t="n">
        <f aca="false">ROUND(J20-J51-J63,1)</f>
        <v>7</v>
      </c>
      <c r="K75" s="268"/>
      <c r="L75" s="269"/>
      <c r="M75" s="0"/>
      <c r="R75" s="0"/>
      <c r="S75" s="0"/>
      <c r="T75" s="0"/>
      <c r="U75" s="0"/>
    </row>
    <row r="76" customFormat="false" ht="15.75" hidden="false" customHeight="false" outlineLevel="0" collapsed="false">
      <c r="B76" s="14" t="s">
        <v>221</v>
      </c>
      <c r="C76" s="146" t="n">
        <v>0</v>
      </c>
      <c r="D76" s="151" t="n">
        <f aca="false">C76*D11</f>
        <v>0</v>
      </c>
      <c r="E76" s="39"/>
      <c r="F76" s="53"/>
      <c r="G76" s="39"/>
      <c r="H76" s="14" t="s">
        <v>176</v>
      </c>
      <c r="I76" s="39"/>
      <c r="J76" s="147" t="n">
        <v>2.25</v>
      </c>
      <c r="K76" s="268"/>
      <c r="L76" s="269"/>
      <c r="M76" s="0"/>
      <c r="Q76" s="0"/>
      <c r="R76" s="0"/>
      <c r="S76" s="0"/>
      <c r="T76" s="0"/>
      <c r="U76" s="0"/>
    </row>
    <row r="77" customFormat="false" ht="15.75" hidden="false" customHeight="false" outlineLevel="0" collapsed="false">
      <c r="B77" s="14" t="s">
        <v>222</v>
      </c>
      <c r="C77" s="146" t="n">
        <v>0</v>
      </c>
      <c r="D77" s="151"/>
      <c r="F77" s="53"/>
      <c r="G77" s="39"/>
      <c r="H77" s="14" t="s">
        <v>179</v>
      </c>
      <c r="I77" s="15"/>
      <c r="J77" s="145" t="n">
        <v>0</v>
      </c>
      <c r="K77" s="268"/>
      <c r="L77" s="269"/>
      <c r="M77" s="0"/>
      <c r="Q77" s="0"/>
      <c r="R77" s="0"/>
      <c r="S77" s="0"/>
      <c r="T77" s="0"/>
      <c r="U77" s="0"/>
    </row>
    <row r="78" customFormat="false" ht="15.75" hidden="false" customHeight="false" outlineLevel="0" collapsed="false">
      <c r="B78" s="14" t="s">
        <v>223</v>
      </c>
      <c r="C78" s="277" t="n">
        <f aca="false">1-C76</f>
        <v>1</v>
      </c>
      <c r="D78" s="151" t="n">
        <f aca="false">C78*D11</f>
        <v>50555.6630818846</v>
      </c>
      <c r="E78" s="39"/>
      <c r="F78" s="53"/>
      <c r="G78" s="39"/>
      <c r="H78" s="14" t="s">
        <v>181</v>
      </c>
      <c r="I78" s="39"/>
      <c r="J78" s="246" t="n">
        <v>0.02</v>
      </c>
      <c r="K78" s="268"/>
      <c r="L78" s="269"/>
      <c r="M78" s="0"/>
      <c r="Q78" s="0"/>
      <c r="R78" s="0"/>
      <c r="S78" s="0"/>
      <c r="T78" s="0"/>
      <c r="U78" s="0"/>
    </row>
    <row r="79" customFormat="false" ht="16.5" hidden="false" customHeight="false" outlineLevel="0" collapsed="false">
      <c r="B79" s="35" t="s">
        <v>224</v>
      </c>
      <c r="C79" s="278" t="n">
        <v>1</v>
      </c>
      <c r="D79" s="36"/>
      <c r="E79" s="36"/>
      <c r="F79" s="55"/>
      <c r="G79" s="39"/>
      <c r="H79" s="14" t="s">
        <v>183</v>
      </c>
      <c r="I79" s="170"/>
      <c r="J79" s="248" t="n">
        <f aca="false">P12*(1-J78)</f>
        <v>225.4</v>
      </c>
      <c r="K79" s="268"/>
      <c r="L79" s="269"/>
      <c r="M79" s="0"/>
      <c r="Q79" s="0"/>
      <c r="R79" s="0"/>
      <c r="S79" s="0"/>
      <c r="T79" s="0"/>
      <c r="U79" s="0"/>
    </row>
    <row r="80" customFormat="false" ht="15.75" hidden="false" customHeight="false" outlineLevel="0" collapsed="false">
      <c r="G80" s="39"/>
      <c r="H80" s="14" t="s">
        <v>187</v>
      </c>
      <c r="I80" s="39"/>
      <c r="J80" s="20" t="n">
        <f aca="false">J79*J14</f>
        <v>315560</v>
      </c>
      <c r="K80" s="268"/>
      <c r="L80" s="269"/>
      <c r="M80" s="0"/>
      <c r="Q80" s="0"/>
      <c r="R80" s="0"/>
      <c r="S80" s="0"/>
      <c r="T80" s="0"/>
      <c r="U80" s="0"/>
    </row>
    <row r="81" customFormat="false" ht="12.75" hidden="false" customHeight="false" outlineLevel="0" collapsed="false">
      <c r="G81" s="39"/>
      <c r="H81" s="52"/>
      <c r="I81" s="39"/>
      <c r="J81" s="39"/>
      <c r="K81" s="268"/>
      <c r="L81" s="269"/>
      <c r="M81" s="0"/>
      <c r="Q81" s="0"/>
      <c r="R81" s="0"/>
      <c r="S81" s="0"/>
      <c r="T81" s="0"/>
      <c r="U81" s="0"/>
    </row>
    <row r="82" customFormat="false" ht="15.75" hidden="false" customHeight="false" outlineLevel="0" collapsed="false">
      <c r="G82" s="5"/>
      <c r="H82" s="14" t="s">
        <v>225</v>
      </c>
      <c r="I82" s="15"/>
      <c r="J82" s="147" t="n">
        <v>0</v>
      </c>
      <c r="K82" s="268"/>
      <c r="L82" s="269"/>
      <c r="M82" s="0"/>
      <c r="Q82" s="0"/>
      <c r="R82" s="0"/>
      <c r="S82" s="0"/>
      <c r="T82" s="0"/>
      <c r="U82" s="0"/>
    </row>
    <row r="83" customFormat="false" ht="15.75" hidden="false" customHeight="false" outlineLevel="0" collapsed="false">
      <c r="H83" s="14" t="s">
        <v>226</v>
      </c>
      <c r="I83" s="39"/>
      <c r="J83" s="246" t="n">
        <v>0.02</v>
      </c>
      <c r="K83" s="268"/>
      <c r="L83" s="269"/>
      <c r="M83" s="0"/>
      <c r="Q83" s="0"/>
      <c r="R83" s="0"/>
      <c r="S83" s="0"/>
      <c r="T83" s="0"/>
      <c r="U83" s="0"/>
    </row>
    <row r="84" customFormat="false" ht="16.5" hidden="false" customHeight="false" outlineLevel="0" collapsed="false">
      <c r="G84" s="15"/>
      <c r="H84" s="35" t="s">
        <v>1</v>
      </c>
      <c r="I84" s="74"/>
      <c r="J84" s="279" t="n">
        <v>0.03</v>
      </c>
      <c r="K84" s="273"/>
      <c r="L84" s="274"/>
      <c r="M84" s="0"/>
      <c r="Q84" s="0"/>
      <c r="R84" s="0"/>
      <c r="S84" s="0"/>
      <c r="T84" s="0"/>
      <c r="U84" s="0"/>
    </row>
    <row r="85" customFormat="false" ht="15.75" hidden="false" customHeight="false" outlineLevel="0" collapsed="false">
      <c r="G85" s="15"/>
      <c r="H85" s="130"/>
      <c r="I85" s="268"/>
      <c r="J85" s="280"/>
      <c r="K85" s="268"/>
      <c r="L85" s="268"/>
      <c r="M85" s="0"/>
      <c r="Q85" s="0"/>
      <c r="R85" s="0"/>
      <c r="S85" s="0"/>
      <c r="T85" s="0"/>
      <c r="U85" s="0"/>
    </row>
    <row r="86" customFormat="false" ht="15.75" hidden="false" customHeight="false" outlineLevel="0" collapsed="false">
      <c r="G86" s="15"/>
      <c r="H86" s="130"/>
      <c r="I86" s="268"/>
      <c r="J86" s="281"/>
      <c r="K86" s="268"/>
      <c r="L86" s="282"/>
      <c r="M86" s="0"/>
      <c r="Q86" s="0"/>
      <c r="R86" s="0"/>
      <c r="S86" s="0"/>
      <c r="T86" s="0"/>
      <c r="U86" s="0"/>
    </row>
    <row r="87" customFormat="false" ht="15.75" hidden="false" customHeight="false" outlineLevel="0" collapsed="false">
      <c r="G87" s="15"/>
      <c r="H87" s="130"/>
      <c r="I87" s="268"/>
      <c r="J87" s="215"/>
      <c r="K87" s="268"/>
      <c r="L87" s="282"/>
      <c r="M87" s="0"/>
      <c r="Q87" s="0"/>
      <c r="R87" s="0"/>
      <c r="S87" s="0"/>
      <c r="T87" s="0"/>
      <c r="U87" s="0"/>
    </row>
    <row r="88" customFormat="false" ht="15.75" hidden="false" customHeight="false" outlineLevel="0" collapsed="false">
      <c r="G88" s="39"/>
      <c r="H88" s="130"/>
      <c r="I88" s="268"/>
      <c r="J88" s="283"/>
      <c r="K88" s="268"/>
      <c r="L88" s="282"/>
      <c r="M88" s="0"/>
      <c r="Q88" s="0"/>
    </row>
    <row r="89" customFormat="false" ht="15.75" hidden="false" customHeight="false" outlineLevel="0" collapsed="false">
      <c r="G89" s="15"/>
      <c r="H89" s="130"/>
      <c r="I89" s="268"/>
      <c r="J89" s="20"/>
      <c r="K89" s="268"/>
      <c r="L89" s="282"/>
      <c r="M89" s="0"/>
      <c r="Q89" s="0"/>
    </row>
    <row r="90" customFormat="false" ht="15.75" hidden="false" customHeight="false" outlineLevel="0" collapsed="false">
      <c r="G90" s="15"/>
      <c r="H90" s="268"/>
      <c r="I90" s="268"/>
      <c r="J90" s="268"/>
      <c r="K90" s="268"/>
      <c r="L90" s="282"/>
      <c r="M90" s="0"/>
      <c r="Q90" s="0"/>
    </row>
    <row r="91" customFormat="false" ht="15.75" hidden="false" customHeight="false" outlineLevel="0" collapsed="false">
      <c r="G91" s="39"/>
      <c r="H91" s="130"/>
      <c r="I91" s="268"/>
      <c r="J91" s="284"/>
      <c r="K91" s="268"/>
      <c r="L91" s="282"/>
      <c r="M91" s="0"/>
    </row>
    <row r="92" customFormat="false" ht="15.75" hidden="false" customHeight="false" outlineLevel="0" collapsed="false">
      <c r="G92" s="39"/>
      <c r="H92" s="130"/>
      <c r="I92" s="268"/>
      <c r="J92" s="215"/>
      <c r="K92" s="268"/>
      <c r="L92" s="282"/>
      <c r="M92" s="0"/>
    </row>
    <row r="93" customFormat="false" ht="15.75" hidden="false" customHeight="false" outlineLevel="0" collapsed="false">
      <c r="G93" s="15"/>
      <c r="H93" s="130"/>
      <c r="I93" s="268"/>
      <c r="J93" s="215"/>
      <c r="K93" s="268"/>
      <c r="L93" s="282"/>
      <c r="M93" s="0"/>
    </row>
    <row r="94" customFormat="false" ht="15.75" hidden="false" customHeight="false" outlineLevel="0" collapsed="false">
      <c r="G94" s="15"/>
      <c r="L94" s="0"/>
      <c r="M94" s="0"/>
    </row>
    <row r="95" customFormat="false" ht="15.75" hidden="false" customHeight="false" outlineLevel="0" collapsed="false">
      <c r="G95" s="15"/>
      <c r="L95" s="0"/>
      <c r="M95" s="0"/>
    </row>
    <row r="96" customFormat="false" ht="15.75" hidden="false" customHeight="false" outlineLevel="0" collapsed="false">
      <c r="E96" s="0"/>
      <c r="F96" s="0"/>
      <c r="G96" s="18"/>
      <c r="L96" s="0"/>
      <c r="M96" s="0"/>
    </row>
    <row r="97" customFormat="false" ht="15.75" hidden="false" customHeight="false" outlineLevel="0" collapsed="false">
      <c r="E97" s="0"/>
      <c r="F97" s="0"/>
      <c r="G97" s="197"/>
      <c r="K97" s="206"/>
      <c r="L97" s="0"/>
      <c r="M97" s="0"/>
    </row>
    <row r="98" customFormat="false" ht="15.75" hidden="false" customHeight="false" outlineLevel="0" collapsed="false">
      <c r="E98" s="0"/>
      <c r="F98" s="0"/>
      <c r="G98" s="197"/>
      <c r="K98" s="285"/>
      <c r="L98" s="0"/>
      <c r="M98" s="0"/>
    </row>
    <row r="99" customFormat="false" ht="15.75" hidden="false" customHeight="false" outlineLevel="0" collapsed="false">
      <c r="E99" s="0"/>
      <c r="F99" s="0"/>
      <c r="G99" s="197"/>
      <c r="M99" s="0"/>
    </row>
    <row r="100" customFormat="false" ht="15.75" hidden="false" customHeight="false" outlineLevel="0" collapsed="false">
      <c r="E100" s="0"/>
      <c r="F100" s="0"/>
      <c r="G100" s="197"/>
      <c r="K100" s="285"/>
      <c r="L100" s="0"/>
      <c r="M100" s="0"/>
    </row>
    <row r="101" customFormat="false" ht="12.75" hidden="false" customHeight="false" outlineLevel="0" collapsed="false">
      <c r="E101" s="0"/>
      <c r="F101" s="0"/>
      <c r="H101" s="0"/>
      <c r="I101" s="0"/>
      <c r="J101" s="0"/>
      <c r="K101" s="0"/>
      <c r="L101" s="0"/>
      <c r="M101" s="0"/>
    </row>
    <row r="102" customFormat="false" ht="12.75" hidden="false" customHeight="false" outlineLevel="0" collapsed="false">
      <c r="E102" s="0"/>
      <c r="F102" s="0"/>
      <c r="H102" s="0"/>
      <c r="I102" s="0"/>
      <c r="J102" s="0"/>
      <c r="K102" s="0"/>
      <c r="L102" s="0"/>
      <c r="M102" s="0"/>
      <c r="N102" s="0"/>
      <c r="O102" s="0"/>
      <c r="P102" s="0"/>
    </row>
    <row r="103" customFormat="false" ht="12.75" hidden="false" customHeight="false" outlineLevel="0" collapsed="false">
      <c r="H103" s="0"/>
      <c r="I103" s="0"/>
      <c r="J103" s="0"/>
      <c r="K103" s="0"/>
      <c r="L103" s="0"/>
      <c r="M103" s="0"/>
      <c r="N103" s="0"/>
      <c r="O103" s="0"/>
      <c r="P103" s="0"/>
    </row>
    <row r="104" customFormat="false" ht="12.75" hidden="false" customHeight="false" outlineLevel="0" collapsed="false">
      <c r="H104" s="0"/>
      <c r="I104" s="0"/>
      <c r="J104" s="0"/>
      <c r="K104" s="0"/>
      <c r="L104" s="0"/>
      <c r="M104" s="0"/>
      <c r="N104" s="0"/>
      <c r="O104" s="0"/>
      <c r="P104" s="0"/>
    </row>
    <row r="105" customFormat="false" ht="12.75" hidden="false" customHeight="false" outlineLevel="0" collapsed="false">
      <c r="H105" s="0"/>
      <c r="I105" s="0"/>
      <c r="J105" s="0"/>
      <c r="K105" s="0"/>
      <c r="L105" s="0"/>
      <c r="M105" s="0"/>
      <c r="N105" s="0"/>
      <c r="O105" s="0"/>
      <c r="P105" s="0"/>
    </row>
    <row r="106" customFormat="false" ht="12.75" hidden="false" customHeight="false" outlineLevel="0" collapsed="false">
      <c r="H106" s="0"/>
      <c r="I106" s="0"/>
      <c r="J106" s="0"/>
      <c r="K106" s="0"/>
      <c r="L106" s="0"/>
      <c r="M106" s="0"/>
      <c r="N106" s="0"/>
      <c r="O106" s="0"/>
      <c r="P106" s="0"/>
    </row>
    <row r="107" customFormat="false" ht="12.75" hidden="false" customHeight="false" outlineLevel="0" collapsed="false">
      <c r="M107" s="0"/>
      <c r="N107" s="0"/>
      <c r="O107" s="0"/>
      <c r="P107" s="0"/>
    </row>
    <row r="108" customFormat="false" ht="12.75" hidden="false" customHeight="false" outlineLevel="0" collapsed="false">
      <c r="H108" s="0"/>
      <c r="I108" s="0"/>
      <c r="J108" s="0"/>
      <c r="K108" s="0"/>
      <c r="L108" s="0"/>
      <c r="M108" s="0"/>
      <c r="N108" s="0"/>
      <c r="O108" s="0"/>
      <c r="P108" s="0"/>
    </row>
    <row r="109" customFormat="false" ht="12.75" hidden="false" customHeight="false" outlineLevel="0" collapsed="false">
      <c r="H109" s="0"/>
      <c r="I109" s="0"/>
      <c r="J109" s="0"/>
      <c r="K109" s="0"/>
      <c r="L109" s="0"/>
      <c r="M109" s="0"/>
      <c r="N109" s="0"/>
      <c r="O109" s="0"/>
      <c r="P109" s="0"/>
    </row>
    <row r="110" customFormat="false" ht="12.75" hidden="false" customHeight="false" outlineLevel="0" collapsed="false">
      <c r="H110" s="0"/>
      <c r="I110" s="0"/>
      <c r="J110" s="0"/>
      <c r="K110" s="0"/>
      <c r="L110" s="0"/>
      <c r="M110" s="0"/>
      <c r="N110" s="0"/>
      <c r="O110" s="0"/>
      <c r="P110" s="0"/>
    </row>
    <row r="111" customFormat="false" ht="12.75" hidden="false" customHeight="false" outlineLevel="0" collapsed="false">
      <c r="H111" s="0"/>
      <c r="I111" s="0"/>
      <c r="J111" s="0"/>
      <c r="K111" s="0"/>
      <c r="L111" s="0"/>
      <c r="M111" s="0"/>
      <c r="N111" s="0"/>
      <c r="O111" s="0"/>
      <c r="P111" s="0"/>
    </row>
    <row r="112" customFormat="false" ht="12.75" hidden="false" customHeight="false" outlineLevel="0" collapsed="false">
      <c r="H112" s="0"/>
      <c r="I112" s="0"/>
      <c r="J112" s="0"/>
      <c r="K112" s="0"/>
      <c r="L112" s="0"/>
      <c r="M112" s="0"/>
      <c r="N112" s="0"/>
      <c r="O112" s="0"/>
      <c r="P112" s="0"/>
    </row>
    <row r="113" customFormat="false" ht="12.75" hidden="false" customHeight="false" outlineLevel="0" collapsed="false">
      <c r="H113" s="0"/>
      <c r="I113" s="0"/>
      <c r="J113" s="0"/>
      <c r="K113" s="0"/>
      <c r="L113" s="0"/>
      <c r="M113" s="0"/>
      <c r="N113" s="0"/>
      <c r="O113" s="0"/>
      <c r="P113" s="0"/>
    </row>
    <row r="114" customFormat="false" ht="12.75" hidden="false" customHeight="false" outlineLevel="0" collapsed="false">
      <c r="L114" s="0"/>
      <c r="M114" s="0"/>
      <c r="N114" s="0"/>
      <c r="O114" s="0"/>
      <c r="P114" s="0"/>
    </row>
    <row r="115" customFormat="false" ht="12.75" hidden="false" customHeight="false" outlineLevel="0" collapsed="false">
      <c r="E115" s="0"/>
      <c r="F115" s="0"/>
      <c r="L115" s="0"/>
      <c r="M115" s="0"/>
      <c r="N115" s="0"/>
      <c r="O115" s="0"/>
      <c r="P115" s="0"/>
    </row>
    <row r="116" customFormat="false" ht="15.75" hidden="false" customHeight="false" outlineLevel="0" collapsed="false">
      <c r="K116" s="285"/>
      <c r="L116" s="0"/>
      <c r="M116" s="0"/>
      <c r="N116" s="0"/>
      <c r="O116" s="0"/>
      <c r="P116" s="0"/>
    </row>
    <row r="117" customFormat="false" ht="15.75" hidden="false" customHeight="false" outlineLevel="0" collapsed="false">
      <c r="K117" s="285"/>
      <c r="L117" s="0"/>
      <c r="M117" s="0"/>
      <c r="N117" s="0"/>
      <c r="O117" s="0"/>
      <c r="P117" s="0"/>
    </row>
    <row r="118" customFormat="false" ht="15.75" hidden="false" customHeight="false" outlineLevel="0" collapsed="false">
      <c r="K118" s="285"/>
      <c r="L118" s="0"/>
      <c r="M118" s="0"/>
      <c r="N118" s="0"/>
      <c r="O118" s="0"/>
      <c r="P118" s="0"/>
    </row>
    <row r="119" customFormat="false" ht="15.75" hidden="false" customHeight="false" outlineLevel="0" collapsed="false">
      <c r="K119" s="285"/>
      <c r="L119" s="0"/>
      <c r="M119" s="0"/>
      <c r="N119" s="0"/>
      <c r="O119" s="0"/>
      <c r="P119" s="0"/>
    </row>
    <row r="120" customFormat="false" ht="15.75" hidden="false" customHeight="false" outlineLevel="0" collapsed="false">
      <c r="K120" s="285"/>
      <c r="L120" s="0"/>
      <c r="M120" s="0"/>
      <c r="N120" s="0"/>
      <c r="O120" s="0"/>
      <c r="P120" s="0"/>
    </row>
    <row r="121" customFormat="false" ht="15.75" hidden="false" customHeight="false" outlineLevel="0" collapsed="false">
      <c r="K121" s="285"/>
      <c r="L121" s="0"/>
      <c r="M121" s="0"/>
      <c r="N121" s="0"/>
      <c r="O121" s="0"/>
      <c r="P121" s="0"/>
    </row>
    <row r="122" customFormat="false" ht="15.75" hidden="false" customHeight="false" outlineLevel="0" collapsed="false">
      <c r="K122" s="285"/>
      <c r="L122" s="0"/>
      <c r="M122" s="0"/>
      <c r="N122" s="0"/>
      <c r="O122" s="0"/>
      <c r="P122" s="0"/>
    </row>
    <row r="123" customFormat="false" ht="15.75" hidden="false" customHeight="false" outlineLevel="0" collapsed="false">
      <c r="K123" s="285"/>
      <c r="L123" s="0"/>
      <c r="M123" s="0"/>
      <c r="N123" s="0"/>
      <c r="O123" s="0"/>
      <c r="P123" s="0"/>
    </row>
    <row r="124" customFormat="false" ht="12.75" hidden="false" customHeight="false" outlineLevel="0" collapsed="false">
      <c r="L124" s="0"/>
      <c r="M124" s="0"/>
      <c r="N124" s="0"/>
      <c r="O124" s="0"/>
      <c r="P124" s="0"/>
    </row>
    <row r="128" customFormat="false" ht="12.75" hidden="false" customHeight="false" outlineLevel="0" collapsed="false">
      <c r="N128" s="39"/>
      <c r="O128" s="39"/>
      <c r="P128" s="39"/>
      <c r="Q128" s="39"/>
      <c r="R128" s="39"/>
      <c r="S128" s="39"/>
      <c r="T128" s="39"/>
      <c r="U128" s="39"/>
      <c r="V128" s="39"/>
      <c r="W128" s="39"/>
      <c r="X128" s="39"/>
      <c r="Y128" s="39"/>
      <c r="Z128" s="39"/>
    </row>
    <row r="129" customFormat="false" ht="12.75" hidden="false" customHeight="false" outlineLevel="0" collapsed="false">
      <c r="N129" s="39"/>
      <c r="O129" s="39"/>
      <c r="P129" s="39"/>
      <c r="Q129" s="39"/>
      <c r="R129" s="39"/>
      <c r="S129" s="39"/>
      <c r="T129" s="39"/>
      <c r="U129" s="39"/>
      <c r="V129" s="39"/>
      <c r="W129" s="39"/>
      <c r="X129" s="39"/>
      <c r="Y129" s="39"/>
      <c r="Z129" s="39"/>
    </row>
    <row r="130" customFormat="false" ht="15.75" hidden="false" customHeight="false" outlineLevel="0" collapsed="false">
      <c r="K130" s="0"/>
      <c r="L130" s="132"/>
      <c r="M130" s="39"/>
      <c r="N130" s="39"/>
      <c r="O130" s="39"/>
      <c r="P130" s="39"/>
      <c r="Q130" s="39"/>
      <c r="R130" s="39"/>
      <c r="S130" s="39"/>
      <c r="T130" s="39"/>
      <c r="U130" s="39"/>
      <c r="V130" s="39"/>
      <c r="W130" s="39"/>
      <c r="X130" s="39"/>
      <c r="Y130" s="39"/>
      <c r="Z130" s="39"/>
    </row>
    <row r="131" customFormat="false" ht="12.75" hidden="false" customHeight="false" outlineLevel="0" collapsed="false">
      <c r="K131" s="0"/>
      <c r="L131" s="39"/>
      <c r="M131" s="39"/>
      <c r="N131" s="286"/>
      <c r="O131" s="39"/>
      <c r="P131" s="39"/>
      <c r="Q131" s="39"/>
      <c r="R131" s="39"/>
      <c r="S131" s="39"/>
      <c r="T131" s="39"/>
      <c r="U131" s="39"/>
      <c r="V131" s="39"/>
      <c r="W131" s="39"/>
      <c r="X131" s="39"/>
      <c r="Y131" s="39"/>
      <c r="Z131" s="39"/>
    </row>
    <row r="132" customFormat="false" ht="12.75" hidden="false" customHeight="false" outlineLevel="0" collapsed="false">
      <c r="K132" s="0"/>
      <c r="L132" s="39"/>
      <c r="M132" s="39"/>
      <c r="N132" s="286"/>
      <c r="O132" s="39"/>
      <c r="P132" s="39"/>
      <c r="Q132" s="39"/>
      <c r="R132" s="39"/>
      <c r="S132" s="39"/>
      <c r="T132" s="39"/>
      <c r="U132" s="39"/>
      <c r="V132" s="39"/>
      <c r="W132" s="39"/>
      <c r="X132" s="39"/>
      <c r="Y132" s="39"/>
      <c r="Z132" s="39"/>
    </row>
    <row r="133" customFormat="false" ht="12.75" hidden="false" customHeight="false" outlineLevel="0" collapsed="false">
      <c r="K133" s="0"/>
      <c r="L133" s="39"/>
      <c r="M133" s="39"/>
      <c r="N133" s="286"/>
      <c r="O133" s="39"/>
      <c r="P133" s="39"/>
      <c r="Q133" s="39"/>
      <c r="R133" s="39"/>
      <c r="S133" s="39"/>
      <c r="T133" s="39"/>
      <c r="U133" s="39"/>
      <c r="V133" s="39"/>
      <c r="W133" s="39"/>
      <c r="X133" s="39"/>
      <c r="Y133" s="39"/>
      <c r="Z133" s="39"/>
    </row>
    <row r="134" customFormat="false" ht="15.75" hidden="false" customHeight="false" outlineLevel="0" collapsed="false">
      <c r="K134" s="0"/>
      <c r="L134" s="39"/>
      <c r="M134" s="39"/>
      <c r="N134" s="287"/>
      <c r="O134" s="288"/>
      <c r="P134" s="288"/>
      <c r="Q134" s="39"/>
      <c r="R134" s="39"/>
      <c r="S134" s="39"/>
      <c r="T134" s="39"/>
      <c r="U134" s="39"/>
      <c r="V134" s="39"/>
      <c r="W134" s="39"/>
      <c r="X134" s="39"/>
      <c r="Y134" s="39"/>
      <c r="Z134" s="39"/>
    </row>
    <row r="135" customFormat="false" ht="15.75" hidden="false" customHeight="false" outlineLevel="0" collapsed="false">
      <c r="K135" s="0"/>
      <c r="L135" s="288"/>
      <c r="M135" s="288"/>
      <c r="N135" s="72"/>
      <c r="O135" s="289"/>
      <c r="P135" s="289"/>
      <c r="Q135" s="39"/>
      <c r="R135" s="39"/>
      <c r="S135" s="39"/>
      <c r="T135" s="39"/>
      <c r="U135" s="39"/>
      <c r="V135" s="39"/>
      <c r="W135" s="39"/>
      <c r="X135" s="39"/>
      <c r="Y135" s="39"/>
      <c r="Z135" s="39"/>
    </row>
    <row r="136" customFormat="false" ht="15.75" hidden="false" customHeight="false" outlineLevel="0" collapsed="false">
      <c r="K136" s="0"/>
      <c r="L136" s="289"/>
      <c r="M136" s="289"/>
      <c r="N136" s="290"/>
      <c r="O136" s="291"/>
      <c r="P136" s="291"/>
      <c r="Q136" s="39"/>
      <c r="R136" s="39"/>
      <c r="S136" s="39"/>
      <c r="T136" s="39"/>
      <c r="U136" s="39"/>
      <c r="V136" s="39"/>
      <c r="W136" s="39"/>
      <c r="X136" s="39"/>
      <c r="Y136" s="39"/>
      <c r="Z136" s="39"/>
    </row>
    <row r="137" customFormat="false" ht="15.75" hidden="false" customHeight="false" outlineLevel="0" collapsed="false">
      <c r="K137" s="0"/>
      <c r="L137" s="291"/>
      <c r="M137" s="291"/>
      <c r="N137" s="290"/>
      <c r="O137" s="291"/>
      <c r="P137" s="291"/>
      <c r="Q137" s="39"/>
      <c r="R137" s="39"/>
      <c r="S137" s="39"/>
      <c r="T137" s="39"/>
      <c r="U137" s="39"/>
      <c r="V137" s="39"/>
      <c r="W137" s="39"/>
      <c r="X137" s="39"/>
      <c r="Y137" s="39"/>
      <c r="Z137" s="39"/>
    </row>
    <row r="138" customFormat="false" ht="15.75" hidden="false" customHeight="false" outlineLevel="0" collapsed="false">
      <c r="K138" s="0"/>
      <c r="L138" s="291"/>
      <c r="M138" s="291"/>
      <c r="N138" s="39"/>
      <c r="O138" s="39"/>
      <c r="P138" s="39"/>
      <c r="Q138" s="39"/>
      <c r="R138" s="39"/>
      <c r="S138" s="39"/>
      <c r="T138" s="39"/>
      <c r="U138" s="39"/>
      <c r="V138" s="39"/>
      <c r="W138" s="39"/>
      <c r="X138" s="39"/>
      <c r="Y138" s="39"/>
      <c r="Z138" s="39"/>
    </row>
    <row r="139" customFormat="false" ht="12.75" hidden="false" customHeight="false" outlineLevel="0" collapsed="false">
      <c r="K139" s="0"/>
      <c r="L139" s="39"/>
      <c r="M139" s="39"/>
    </row>
    <row r="140" customFormat="false" ht="12.75" hidden="false" customHeight="false" outlineLevel="0" collapsed="false">
      <c r="K140" s="0"/>
    </row>
    <row r="141" customFormat="false" ht="15.75" hidden="false" customHeight="false" outlineLevel="0" collapsed="false">
      <c r="K141" s="0"/>
      <c r="L141" s="132"/>
    </row>
    <row r="142" customFormat="false" ht="12.75" hidden="false" customHeight="false" outlineLevel="0" collapsed="false">
      <c r="K142" s="0"/>
      <c r="L142" s="39"/>
    </row>
    <row r="143" customFormat="false" ht="12.75" hidden="false" customHeight="false" outlineLevel="0" collapsed="false">
      <c r="K143" s="0"/>
      <c r="L143" s="39"/>
    </row>
    <row r="144" customFormat="false" ht="12.75" hidden="false" customHeight="false" outlineLevel="0" collapsed="false">
      <c r="K144" s="0"/>
      <c r="L144" s="39"/>
    </row>
    <row r="145" customFormat="false" ht="12.75" hidden="false" customHeight="false" outlineLevel="0" collapsed="false">
      <c r="K145" s="0"/>
      <c r="L145" s="39"/>
    </row>
    <row r="146" customFormat="false" ht="12.75" hidden="false" customHeight="false" outlineLevel="0" collapsed="false">
      <c r="K146" s="0"/>
      <c r="L146" s="39"/>
    </row>
    <row r="147" customFormat="false" ht="12.75" hidden="false" customHeight="false" outlineLevel="0" collapsed="false">
      <c r="K147" s="0"/>
      <c r="L147" s="39"/>
    </row>
    <row r="148" customFormat="false" ht="15.75" hidden="false" customHeight="false" outlineLevel="0" collapsed="false">
      <c r="K148" s="0"/>
      <c r="L148" s="288"/>
    </row>
    <row r="149" customFormat="false" ht="15.75" hidden="false" customHeight="false" outlineLevel="0" collapsed="false">
      <c r="K149" s="0"/>
      <c r="L149" s="289"/>
    </row>
    <row r="150" customFormat="false" ht="15.75" hidden="false" customHeight="false" outlineLevel="0" collapsed="false">
      <c r="K150" s="0"/>
      <c r="L150" s="291"/>
    </row>
    <row r="151" customFormat="false" ht="15.75" hidden="false" customHeight="false" outlineLevel="0" collapsed="false">
      <c r="K151" s="0"/>
      <c r="L151" s="291"/>
    </row>
    <row r="152" customFormat="false" ht="12.75" hidden="false" customHeight="false" outlineLevel="0" collapsed="false">
      <c r="K152" s="0"/>
    </row>
    <row r="153" customFormat="false" ht="12.75" hidden="false" customHeight="false" outlineLevel="0" collapsed="false">
      <c r="K153" s="0"/>
    </row>
    <row r="154" customFormat="false" ht="12.75" hidden="false" customHeight="false" outlineLevel="0" collapsed="false">
      <c r="K154" s="0"/>
    </row>
    <row r="155" customFormat="false" ht="12.75" hidden="false" customHeight="false" outlineLevel="0" collapsed="false">
      <c r="K155" s="0"/>
    </row>
    <row r="156" customFormat="false" ht="12.75" hidden="false" customHeight="false" outlineLevel="0" collapsed="false">
      <c r="K156" s="0"/>
    </row>
    <row r="157" customFormat="false" ht="12.75" hidden="false" customHeight="false" outlineLevel="0" collapsed="false">
      <c r="H157" s="0"/>
      <c r="I157" s="0"/>
      <c r="J157" s="0"/>
      <c r="K157" s="0"/>
    </row>
    <row r="158" customFormat="false" ht="12.75" hidden="false" customHeight="false" outlineLevel="0" collapsed="false">
      <c r="H158" s="0"/>
      <c r="I158" s="0"/>
      <c r="J158" s="0"/>
    </row>
    <row r="159" customFormat="false" ht="12.75" hidden="false" customHeight="false" outlineLevel="0" collapsed="false">
      <c r="E159" s="0"/>
      <c r="F159" s="0"/>
      <c r="H159" s="0"/>
      <c r="I159" s="0"/>
      <c r="J159" s="0"/>
    </row>
    <row r="160" customFormat="false" ht="12.75" hidden="false" customHeight="false" outlineLevel="0" collapsed="false">
      <c r="E160" s="0"/>
      <c r="F160" s="0"/>
      <c r="H160" s="0"/>
      <c r="I160" s="0"/>
      <c r="J160" s="0"/>
    </row>
    <row r="161" customFormat="false" ht="12.75" hidden="false" customHeight="false" outlineLevel="0" collapsed="false">
      <c r="E161" s="0"/>
      <c r="F161" s="0"/>
      <c r="H161" s="0"/>
      <c r="I161" s="0"/>
      <c r="J161" s="0"/>
    </row>
    <row r="162" customFormat="false" ht="12.75" hidden="false" customHeight="false" outlineLevel="0" collapsed="false">
      <c r="E162" s="0"/>
      <c r="F162" s="0"/>
      <c r="H162" s="0"/>
      <c r="I162" s="0"/>
      <c r="J162" s="0"/>
    </row>
    <row r="165" customFormat="false" ht="12.75" hidden="false" customHeight="false" outlineLevel="0" collapsed="false">
      <c r="H165" s="0"/>
      <c r="I165" s="0"/>
      <c r="J165" s="0"/>
    </row>
    <row r="166" customFormat="false" ht="12.75" hidden="false" customHeight="false" outlineLevel="0" collapsed="false">
      <c r="H166" s="0"/>
      <c r="I166" s="0"/>
      <c r="J166" s="0"/>
    </row>
    <row r="167" customFormat="false" ht="12.75" hidden="false" customHeight="false" outlineLevel="0" collapsed="false">
      <c r="H167" s="0"/>
      <c r="I167" s="0"/>
      <c r="J167" s="0"/>
    </row>
    <row r="168" customFormat="false" ht="12.75" hidden="false" customHeight="false" outlineLevel="0" collapsed="false">
      <c r="H168" s="0"/>
      <c r="I168" s="0"/>
      <c r="J168" s="0"/>
    </row>
    <row r="169" customFormat="false" ht="12.75" hidden="false" customHeight="false" outlineLevel="0" collapsed="false">
      <c r="H169" s="0"/>
      <c r="I169" s="0"/>
      <c r="J169" s="0"/>
    </row>
    <row r="170" customFormat="false" ht="12.75" hidden="false" customHeight="false" outlineLevel="0" collapsed="false">
      <c r="H170" s="0"/>
      <c r="I170" s="0"/>
      <c r="J170" s="0"/>
    </row>
  </sheetData>
  <printOptions headings="false" gridLines="false" gridLinesSet="true" horizontalCentered="false" verticalCentered="false"/>
  <pageMargins left="0.25" right="0.25" top="0.5" bottom="0.5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&amp;L&amp;T, &amp;D&amp;CSantee Cooper&amp;R&amp;P 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AT39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G25" activeCellId="0" sqref="G25"/>
    </sheetView>
  </sheetViews>
  <sheetFormatPr defaultColWidth="9.28125" defaultRowHeight="15.75" customHeight="true" zeroHeight="false" outlineLevelRow="0" outlineLevelCol="0"/>
  <cols>
    <col collapsed="false" customWidth="true" hidden="false" outlineLevel="0" max="1" min="1" style="5" width="9.56"/>
    <col collapsed="false" customWidth="true" hidden="false" outlineLevel="0" max="2" min="2" style="5" width="37.28"/>
    <col collapsed="false" customWidth="true" hidden="false" outlineLevel="0" max="3" min="3" style="5" width="11.13"/>
    <col collapsed="false" customWidth="true" hidden="false" outlineLevel="0" max="4" min="4" style="5" width="3.7"/>
    <col collapsed="false" customWidth="true" hidden="false" outlineLevel="0" max="5" min="5" style="5" width="9.85"/>
    <col collapsed="false" customWidth="true" hidden="false" outlineLevel="0" max="36" min="6" style="5" width="10.28"/>
    <col collapsed="false" customWidth="false" hidden="false" outlineLevel="0" max="257" min="37" style="5" width="9.28"/>
  </cols>
  <sheetData>
    <row r="2" customFormat="false" ht="18.75" hidden="false" customHeight="false" outlineLevel="0" collapsed="false">
      <c r="A2" s="6" t="str">
        <f aca="false">Assumptions!B3</f>
        <v>PROJECT NAME: SANTEE COOPER</v>
      </c>
    </row>
    <row r="3" customFormat="false" ht="12" hidden="false" customHeight="true" outlineLevel="0" collapsed="false">
      <c r="A3" s="4"/>
      <c r="E3" s="292"/>
      <c r="F3" s="293"/>
      <c r="G3" s="293"/>
      <c r="H3" s="293"/>
      <c r="I3" s="293"/>
      <c r="J3" s="293"/>
      <c r="K3" s="293"/>
      <c r="L3" s="293"/>
      <c r="M3" s="293"/>
      <c r="N3" s="293"/>
      <c r="O3" s="293"/>
      <c r="P3" s="293"/>
      <c r="Q3" s="293"/>
      <c r="R3" s="293"/>
      <c r="S3" s="293"/>
      <c r="T3" s="293"/>
      <c r="U3" s="293"/>
      <c r="V3" s="293"/>
      <c r="W3" s="293"/>
      <c r="X3" s="293"/>
      <c r="Y3" s="293"/>
      <c r="Z3" s="293"/>
    </row>
    <row r="4" customFormat="false" ht="18.75" hidden="false" customHeight="false" outlineLevel="0" collapsed="false">
      <c r="A4" s="2" t="s">
        <v>227</v>
      </c>
      <c r="B4" s="294"/>
      <c r="C4" s="29"/>
      <c r="D4" s="29"/>
      <c r="E4" s="292"/>
      <c r="F4" s="293"/>
      <c r="G4" s="293"/>
      <c r="H4" s="293"/>
      <c r="I4" s="293"/>
      <c r="J4" s="293"/>
      <c r="K4" s="293"/>
      <c r="L4" s="293"/>
      <c r="M4" s="293"/>
      <c r="N4" s="293"/>
      <c r="O4" s="293"/>
      <c r="P4" s="293"/>
      <c r="Q4" s="293"/>
      <c r="R4" s="293"/>
      <c r="S4" s="293"/>
      <c r="T4" s="293"/>
      <c r="U4" s="293"/>
      <c r="V4" s="293"/>
      <c r="W4" s="293"/>
      <c r="X4" s="293"/>
      <c r="Y4" s="293"/>
      <c r="Z4" s="293"/>
    </row>
    <row r="5" customFormat="false" ht="18.75" hidden="false" customHeight="false" outlineLevel="0" collapsed="false">
      <c r="A5" s="295" t="s">
        <v>228</v>
      </c>
      <c r="E5" s="292"/>
      <c r="F5" s="292"/>
      <c r="G5" s="292"/>
      <c r="H5" s="292"/>
      <c r="I5" s="292"/>
      <c r="J5" s="292"/>
      <c r="K5" s="292"/>
      <c r="L5" s="292"/>
      <c r="M5" s="292"/>
      <c r="N5" s="292"/>
      <c r="O5" s="292"/>
      <c r="P5" s="292"/>
      <c r="Q5" s="292"/>
      <c r="R5" s="292"/>
      <c r="S5" s="292"/>
      <c r="T5" s="292"/>
      <c r="U5" s="292"/>
      <c r="V5" s="292"/>
      <c r="W5" s="292"/>
      <c r="X5" s="292"/>
      <c r="Y5" s="292"/>
      <c r="Z5" s="292"/>
    </row>
    <row r="6" customFormat="false" ht="15.75" hidden="false" customHeight="false" outlineLevel="0" collapsed="false">
      <c r="A6" s="213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</row>
    <row r="7" customFormat="false" ht="15.75" hidden="false" customHeight="false" outlineLevel="0" collapsed="false">
      <c r="A7" s="213"/>
      <c r="B7" s="3" t="s">
        <v>229</v>
      </c>
      <c r="C7" s="296" t="n">
        <f aca="false">Assumptions!P21</f>
        <v>0</v>
      </c>
      <c r="D7" s="297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</row>
    <row r="8" customFormat="false" ht="15.75" hidden="false" customHeight="false" outlineLevel="0" collapsed="false">
      <c r="A8" s="15"/>
      <c r="B8" s="298"/>
      <c r="C8" s="299"/>
      <c r="D8" s="299"/>
      <c r="E8" s="15"/>
      <c r="F8" s="15"/>
      <c r="G8" s="15"/>
      <c r="H8" s="15"/>
      <c r="I8" s="300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</row>
    <row r="9" customFormat="false" ht="15.75" hidden="false" customHeight="false" outlineLevel="0" collapsed="false">
      <c r="A9" s="301"/>
      <c r="B9" s="15"/>
      <c r="C9" s="15"/>
      <c r="D9" s="15"/>
      <c r="E9" s="302"/>
      <c r="F9" s="303" t="n">
        <f aca="false">(Assumptions!J17/12)</f>
        <v>0.668493150684932</v>
      </c>
      <c r="G9" s="303" t="n">
        <f aca="false">F9+1</f>
        <v>1.66849315068493</v>
      </c>
      <c r="H9" s="303" t="n">
        <f aca="false">G9+1</f>
        <v>2.66849315068493</v>
      </c>
      <c r="I9" s="303" t="n">
        <f aca="false">H9+1</f>
        <v>3.66849315068493</v>
      </c>
      <c r="J9" s="303" t="n">
        <f aca="false">I9+1</f>
        <v>4.66849315068493</v>
      </c>
      <c r="K9" s="303" t="n">
        <f aca="false">J9+1</f>
        <v>5.66849315068493</v>
      </c>
      <c r="L9" s="303" t="n">
        <f aca="false">K9+1</f>
        <v>6.66849315068493</v>
      </c>
      <c r="M9" s="303" t="n">
        <f aca="false">L9+1</f>
        <v>7.66849315068493</v>
      </c>
      <c r="N9" s="303" t="n">
        <f aca="false">M9+1</f>
        <v>8.66849315068493</v>
      </c>
      <c r="O9" s="303" t="n">
        <f aca="false">N9+1</f>
        <v>9.66849315068493</v>
      </c>
      <c r="P9" s="303" t="n">
        <f aca="false">O9+1</f>
        <v>10.6684931506849</v>
      </c>
      <c r="Q9" s="303" t="n">
        <f aca="false">P9+1</f>
        <v>11.6684931506849</v>
      </c>
      <c r="R9" s="303" t="n">
        <f aca="false">Q9+1</f>
        <v>12.6684931506849</v>
      </c>
      <c r="S9" s="303" t="n">
        <f aca="false">R9+1</f>
        <v>13.6684931506849</v>
      </c>
      <c r="T9" s="303" t="n">
        <f aca="false">S9+1</f>
        <v>14.6684931506849</v>
      </c>
      <c r="U9" s="303" t="n">
        <f aca="false">T9+1</f>
        <v>15.6684931506849</v>
      </c>
      <c r="V9" s="303" t="n">
        <f aca="false">U9+1</f>
        <v>16.6684931506849</v>
      </c>
      <c r="W9" s="303" t="n">
        <f aca="false">V9+1</f>
        <v>17.6684931506849</v>
      </c>
      <c r="X9" s="303" t="n">
        <f aca="false">W9+1</f>
        <v>18.6684931506849</v>
      </c>
      <c r="Y9" s="303" t="n">
        <f aca="false">X9+1</f>
        <v>19.6684931506849</v>
      </c>
      <c r="Z9" s="303" t="n">
        <f aca="false">Y9+1</f>
        <v>20.6684931506849</v>
      </c>
      <c r="AA9" s="303" t="n">
        <f aca="false">Z9+1</f>
        <v>21.6684931506849</v>
      </c>
      <c r="AB9" s="303" t="n">
        <f aca="false">AA9+1</f>
        <v>22.6684931506849</v>
      </c>
      <c r="AC9" s="303" t="n">
        <f aca="false">AB9+1</f>
        <v>23.6684931506849</v>
      </c>
      <c r="AD9" s="303" t="n">
        <f aca="false">AC9+1</f>
        <v>24.6684931506849</v>
      </c>
      <c r="AE9" s="303" t="n">
        <f aca="false">AD9+1</f>
        <v>25.6684931506849</v>
      </c>
      <c r="AF9" s="303" t="n">
        <f aca="false">AE9+1</f>
        <v>26.6684931506849</v>
      </c>
      <c r="AG9" s="303" t="n">
        <f aca="false">AF9+1</f>
        <v>27.6684931506849</v>
      </c>
      <c r="AH9" s="303" t="n">
        <f aca="false">AG9+1</f>
        <v>28.6684931506849</v>
      </c>
      <c r="AI9" s="303" t="n">
        <f aca="false">AH9+1</f>
        <v>29.6684931506849</v>
      </c>
      <c r="AJ9" s="303" t="n">
        <f aca="false">AI9+1</f>
        <v>30.6684931506849</v>
      </c>
    </row>
    <row r="10" customFormat="false" ht="15.75" hidden="false" customHeight="false" outlineLevel="0" collapsed="false">
      <c r="A10" s="15"/>
      <c r="B10" s="15"/>
      <c r="C10" s="15"/>
      <c r="D10" s="15"/>
      <c r="E10" s="304"/>
      <c r="F10" s="304" t="n">
        <f aca="false">YEAR(Assumptions!J16)</f>
        <v>2001</v>
      </c>
      <c r="G10" s="304" t="n">
        <f aca="false">F10+1</f>
        <v>2002</v>
      </c>
      <c r="H10" s="304" t="n">
        <f aca="false">G10+1</f>
        <v>2003</v>
      </c>
      <c r="I10" s="304" t="n">
        <f aca="false">H10+1</f>
        <v>2004</v>
      </c>
      <c r="J10" s="304" t="n">
        <f aca="false">I10+1</f>
        <v>2005</v>
      </c>
      <c r="K10" s="304" t="n">
        <f aca="false">J10+1</f>
        <v>2006</v>
      </c>
      <c r="L10" s="304" t="n">
        <f aca="false">K10+1</f>
        <v>2007</v>
      </c>
      <c r="M10" s="304" t="n">
        <f aca="false">L10+1</f>
        <v>2008</v>
      </c>
      <c r="N10" s="304" t="n">
        <f aca="false">M10+1</f>
        <v>2009</v>
      </c>
      <c r="O10" s="304" t="n">
        <f aca="false">N10+1</f>
        <v>2010</v>
      </c>
      <c r="P10" s="304" t="n">
        <f aca="false">O10+1</f>
        <v>2011</v>
      </c>
      <c r="Q10" s="304" t="n">
        <f aca="false">P10+1</f>
        <v>2012</v>
      </c>
      <c r="R10" s="304" t="n">
        <f aca="false">Q10+1</f>
        <v>2013</v>
      </c>
      <c r="S10" s="304" t="n">
        <f aca="false">R10+1</f>
        <v>2014</v>
      </c>
      <c r="T10" s="304" t="n">
        <f aca="false">S10+1</f>
        <v>2015</v>
      </c>
      <c r="U10" s="304" t="n">
        <f aca="false">T10+1</f>
        <v>2016</v>
      </c>
      <c r="V10" s="304" t="n">
        <f aca="false">U10+1</f>
        <v>2017</v>
      </c>
      <c r="W10" s="304" t="n">
        <f aca="false">V10+1</f>
        <v>2018</v>
      </c>
      <c r="X10" s="304" t="n">
        <f aca="false">W10+1</f>
        <v>2019</v>
      </c>
      <c r="Y10" s="304" t="n">
        <f aca="false">X10+1</f>
        <v>2020</v>
      </c>
      <c r="Z10" s="304" t="n">
        <f aca="false">Y10+1</f>
        <v>2021</v>
      </c>
      <c r="AA10" s="304" t="n">
        <f aca="false">Z10+1</f>
        <v>2022</v>
      </c>
      <c r="AB10" s="304" t="n">
        <f aca="false">AA10+1</f>
        <v>2023</v>
      </c>
      <c r="AC10" s="304" t="n">
        <f aca="false">AB10+1</f>
        <v>2024</v>
      </c>
      <c r="AD10" s="304" t="n">
        <f aca="false">AC10+1</f>
        <v>2025</v>
      </c>
      <c r="AE10" s="304" t="n">
        <f aca="false">AD10+1</f>
        <v>2026</v>
      </c>
      <c r="AF10" s="304" t="n">
        <f aca="false">AE10+1</f>
        <v>2027</v>
      </c>
      <c r="AG10" s="304" t="n">
        <f aca="false">AF10+1</f>
        <v>2028</v>
      </c>
      <c r="AH10" s="304" t="n">
        <f aca="false">AG10+1</f>
        <v>2029</v>
      </c>
      <c r="AI10" s="304" t="n">
        <f aca="false">AH10+1</f>
        <v>2030</v>
      </c>
      <c r="AJ10" s="304" t="n">
        <f aca="false">AI10+1</f>
        <v>2031</v>
      </c>
    </row>
    <row r="11" customFormat="false" ht="15.75" hidden="false" customHeight="false" outlineLevel="0" collapsed="false">
      <c r="A11" s="15"/>
      <c r="B11" s="15"/>
      <c r="C11" s="15"/>
      <c r="D11" s="15"/>
      <c r="E11" s="304"/>
      <c r="F11" s="304"/>
      <c r="G11" s="304"/>
      <c r="H11" s="304"/>
      <c r="I11" s="304"/>
      <c r="J11" s="304"/>
      <c r="K11" s="304"/>
      <c r="L11" s="304"/>
      <c r="M11" s="304"/>
      <c r="N11" s="304"/>
      <c r="O11" s="304"/>
      <c r="P11" s="304"/>
      <c r="Q11" s="304"/>
      <c r="R11" s="304"/>
      <c r="S11" s="304"/>
      <c r="T11" s="304"/>
      <c r="U11" s="304"/>
      <c r="V11" s="304"/>
      <c r="W11" s="304"/>
      <c r="X11" s="304"/>
      <c r="Y11" s="304"/>
      <c r="Z11" s="304"/>
      <c r="AA11" s="304"/>
      <c r="AB11" s="304"/>
      <c r="AC11" s="304"/>
      <c r="AD11" s="304"/>
      <c r="AE11" s="304"/>
      <c r="AF11" s="304"/>
      <c r="AG11" s="304"/>
      <c r="AH11" s="304"/>
      <c r="AI11" s="304"/>
      <c r="AJ11" s="304"/>
    </row>
    <row r="12" customFormat="false" ht="15.75" hidden="false" customHeight="false" outlineLevel="0" collapsed="false">
      <c r="A12" s="305" t="s">
        <v>230</v>
      </c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</row>
    <row r="13" customFormat="false" ht="15.75" hidden="false" customHeight="false" outlineLevel="0" collapsed="false">
      <c r="A13" s="15"/>
      <c r="B13" s="15" t="s">
        <v>231</v>
      </c>
      <c r="C13" s="306"/>
      <c r="D13" s="306"/>
      <c r="E13" s="307"/>
      <c r="F13" s="308" t="n">
        <v>62.1359223300971</v>
      </c>
      <c r="G13" s="308" t="n">
        <v>64</v>
      </c>
      <c r="H13" s="308" t="n">
        <v>62</v>
      </c>
      <c r="I13" s="308" t="n">
        <v>61</v>
      </c>
      <c r="J13" s="308" t="n">
        <v>59</v>
      </c>
      <c r="K13" s="308" t="n">
        <v>58</v>
      </c>
      <c r="L13" s="308" t="n">
        <v>57</v>
      </c>
      <c r="M13" s="308" t="n">
        <v>56</v>
      </c>
      <c r="N13" s="308" t="n">
        <v>56</v>
      </c>
      <c r="O13" s="308" t="n">
        <v>55</v>
      </c>
      <c r="P13" s="308" t="n">
        <v>55</v>
      </c>
      <c r="Q13" s="308" t="n">
        <v>54</v>
      </c>
      <c r="R13" s="308" t="n">
        <v>54</v>
      </c>
      <c r="S13" s="308" t="n">
        <v>53</v>
      </c>
      <c r="T13" s="308" t="n">
        <v>52</v>
      </c>
      <c r="U13" s="308" t="n">
        <v>51</v>
      </c>
      <c r="V13" s="308" t="n">
        <v>50</v>
      </c>
      <c r="W13" s="308" t="n">
        <v>49</v>
      </c>
      <c r="X13" s="308" t="n">
        <v>48</v>
      </c>
      <c r="Y13" s="308" t="n">
        <v>47</v>
      </c>
      <c r="Z13" s="308" t="n">
        <v>46</v>
      </c>
      <c r="AA13" s="308" t="n">
        <v>45</v>
      </c>
      <c r="AB13" s="308" t="n">
        <v>45</v>
      </c>
      <c r="AC13" s="308" t="n">
        <v>45</v>
      </c>
      <c r="AD13" s="308" t="n">
        <v>45</v>
      </c>
      <c r="AE13" s="308" t="n">
        <v>45</v>
      </c>
      <c r="AF13" s="308" t="n">
        <v>45</v>
      </c>
      <c r="AG13" s="308" t="n">
        <v>45</v>
      </c>
      <c r="AH13" s="308" t="n">
        <v>45</v>
      </c>
      <c r="AI13" s="308" t="n">
        <v>45</v>
      </c>
      <c r="AJ13" s="308" t="n">
        <v>45</v>
      </c>
    </row>
    <row r="14" customFormat="false" ht="15.75" hidden="false" customHeight="false" outlineLevel="0" collapsed="false">
      <c r="A14" s="15"/>
      <c r="B14" s="15" t="s">
        <v>232</v>
      </c>
      <c r="C14" s="15"/>
      <c r="D14" s="15"/>
      <c r="E14" s="307"/>
      <c r="F14" s="308" t="n">
        <v>49.5145631067961</v>
      </c>
      <c r="G14" s="308" t="n">
        <v>51</v>
      </c>
      <c r="H14" s="308" t="n">
        <v>52</v>
      </c>
      <c r="I14" s="308" t="n">
        <v>52</v>
      </c>
      <c r="J14" s="308" t="n">
        <v>52</v>
      </c>
      <c r="K14" s="308" t="n">
        <v>52</v>
      </c>
      <c r="L14" s="308" t="n">
        <v>52</v>
      </c>
      <c r="M14" s="308" t="n">
        <v>50</v>
      </c>
      <c r="N14" s="308" t="n">
        <v>48</v>
      </c>
      <c r="O14" s="308" t="n">
        <v>45</v>
      </c>
      <c r="P14" s="308" t="n">
        <v>43</v>
      </c>
      <c r="Q14" s="308" t="n">
        <v>41</v>
      </c>
      <c r="R14" s="308" t="n">
        <v>40</v>
      </c>
      <c r="S14" s="308" t="n">
        <v>39</v>
      </c>
      <c r="T14" s="308" t="n">
        <v>37</v>
      </c>
      <c r="U14" s="308" t="n">
        <v>36</v>
      </c>
      <c r="V14" s="308" t="n">
        <v>35</v>
      </c>
      <c r="W14" s="308" t="n">
        <v>35</v>
      </c>
      <c r="X14" s="308" t="n">
        <v>35</v>
      </c>
      <c r="Y14" s="308" t="n">
        <v>34</v>
      </c>
      <c r="Z14" s="308" t="n">
        <v>34</v>
      </c>
      <c r="AA14" s="308" t="n">
        <v>34</v>
      </c>
      <c r="AB14" s="308" t="n">
        <v>34</v>
      </c>
      <c r="AC14" s="308" t="n">
        <v>34</v>
      </c>
      <c r="AD14" s="308" t="n">
        <v>34</v>
      </c>
      <c r="AE14" s="308" t="n">
        <v>34</v>
      </c>
      <c r="AF14" s="308" t="n">
        <v>34</v>
      </c>
      <c r="AG14" s="308" t="n">
        <v>34</v>
      </c>
      <c r="AH14" s="308" t="n">
        <v>34</v>
      </c>
      <c r="AI14" s="308" t="n">
        <v>34</v>
      </c>
      <c r="AJ14" s="308" t="n">
        <v>34</v>
      </c>
    </row>
    <row r="15" customFormat="false" ht="15.75" hidden="false" customHeight="false" outlineLevel="0" collapsed="false">
      <c r="A15" s="15"/>
      <c r="B15" s="15"/>
      <c r="C15" s="15"/>
      <c r="D15" s="15"/>
      <c r="E15" s="307"/>
      <c r="F15" s="307"/>
      <c r="G15" s="307"/>
      <c r="H15" s="307"/>
      <c r="I15" s="307"/>
      <c r="J15" s="307"/>
      <c r="K15" s="307"/>
      <c r="L15" s="307"/>
      <c r="M15" s="307"/>
      <c r="N15" s="307"/>
      <c r="O15" s="307"/>
      <c r="P15" s="307"/>
      <c r="Q15" s="307"/>
      <c r="R15" s="307"/>
      <c r="S15" s="307"/>
      <c r="T15" s="307"/>
      <c r="U15" s="307"/>
      <c r="V15" s="307"/>
      <c r="W15" s="307"/>
      <c r="X15" s="307"/>
      <c r="Y15" s="307"/>
      <c r="Z15" s="307"/>
      <c r="AA15" s="307"/>
      <c r="AB15" s="307"/>
      <c r="AC15" s="307"/>
      <c r="AD15" s="307"/>
      <c r="AE15" s="307"/>
      <c r="AF15" s="307"/>
      <c r="AG15" s="307"/>
      <c r="AH15" s="307"/>
      <c r="AI15" s="307"/>
      <c r="AJ15" s="307"/>
    </row>
    <row r="16" customFormat="false" ht="15.75" hidden="false" customHeight="false" outlineLevel="0" collapsed="false">
      <c r="A16" s="305" t="s">
        <v>233</v>
      </c>
      <c r="B16" s="15"/>
      <c r="C16" s="15"/>
      <c r="D16" s="15"/>
      <c r="E16" s="307"/>
      <c r="F16" s="307"/>
      <c r="G16" s="307"/>
      <c r="H16" s="307"/>
      <c r="I16" s="307"/>
      <c r="J16" s="307"/>
      <c r="K16" s="307"/>
      <c r="L16" s="307"/>
      <c r="M16" s="307"/>
      <c r="N16" s="307"/>
      <c r="O16" s="307"/>
      <c r="P16" s="307"/>
      <c r="Q16" s="307"/>
      <c r="R16" s="307"/>
      <c r="S16" s="307"/>
      <c r="T16" s="307"/>
      <c r="U16" s="307"/>
      <c r="V16" s="307"/>
      <c r="W16" s="307"/>
      <c r="X16" s="307"/>
      <c r="Y16" s="307"/>
      <c r="Z16" s="307"/>
      <c r="AA16" s="307"/>
      <c r="AB16" s="307"/>
      <c r="AC16" s="307"/>
      <c r="AD16" s="307"/>
      <c r="AE16" s="307"/>
      <c r="AF16" s="307"/>
      <c r="AG16" s="307"/>
      <c r="AH16" s="307"/>
      <c r="AI16" s="307"/>
      <c r="AJ16" s="307"/>
    </row>
    <row r="17" customFormat="false" ht="15.75" hidden="false" customHeight="false" outlineLevel="0" collapsed="false">
      <c r="A17" s="15"/>
      <c r="B17" s="15" t="s">
        <v>234</v>
      </c>
      <c r="C17" s="309"/>
      <c r="D17" s="309"/>
      <c r="E17" s="307"/>
      <c r="F17" s="308" t="n">
        <v>65.92</v>
      </c>
      <c r="G17" s="308" t="n">
        <v>67.8976</v>
      </c>
      <c r="H17" s="308" t="n">
        <v>67.749074</v>
      </c>
      <c r="I17" s="308" t="n">
        <v>68.65603741</v>
      </c>
      <c r="J17" s="308" t="n">
        <v>68.3971703837</v>
      </c>
      <c r="K17" s="308" t="n">
        <v>69.255033198682</v>
      </c>
      <c r="L17" s="308" t="n">
        <v>70.1028103292176</v>
      </c>
      <c r="M17" s="308" t="n">
        <v>70.9391245577065</v>
      </c>
      <c r="N17" s="308" t="n">
        <v>73.0672982944377</v>
      </c>
      <c r="O17" s="308" t="n">
        <v>73.9154008639267</v>
      </c>
      <c r="P17" s="308" t="n">
        <v>76.1328628898445</v>
      </c>
      <c r="Q17" s="308" t="n">
        <v>76.9910878896937</v>
      </c>
      <c r="R17" s="308" t="n">
        <v>79.3008205263845</v>
      </c>
      <c r="S17" s="308" t="n">
        <v>80.1672554173209</v>
      </c>
      <c r="T17" s="308" t="n">
        <v>81.0143056632398</v>
      </c>
      <c r="U17" s="308" t="n">
        <v>81.8400283940381</v>
      </c>
      <c r="V17" s="308" t="n">
        <v>82.6423816135875</v>
      </c>
      <c r="W17" s="308" t="n">
        <v>83.4192200007553</v>
      </c>
      <c r="X17" s="308" t="n">
        <v>84.1682905477008</v>
      </c>
      <c r="Y17" s="308" t="n">
        <v>84.8872280294624</v>
      </c>
      <c r="Z17" s="308" t="n">
        <v>85.5735502986368</v>
      </c>
      <c r="AA17" s="308" t="n">
        <v>86.2246533987351</v>
      </c>
      <c r="AB17" s="308" t="n">
        <v>86.2246533987351</v>
      </c>
      <c r="AC17" s="308" t="n">
        <v>86.2246533987351</v>
      </c>
      <c r="AD17" s="308" t="n">
        <v>86.2246533987351</v>
      </c>
      <c r="AE17" s="308" t="n">
        <v>86.2246533987351</v>
      </c>
      <c r="AF17" s="308" t="n">
        <v>86.2246533987351</v>
      </c>
      <c r="AG17" s="308" t="n">
        <v>86.2246533987351</v>
      </c>
      <c r="AH17" s="308" t="n">
        <v>86.2246533987351</v>
      </c>
      <c r="AI17" s="308" t="n">
        <v>86.2246533987351</v>
      </c>
      <c r="AJ17" s="308" t="n">
        <v>86.2246533987351</v>
      </c>
    </row>
    <row r="18" customFormat="false" ht="15.75" hidden="false" customHeight="false" outlineLevel="0" collapsed="false">
      <c r="A18" s="15"/>
      <c r="B18" s="15" t="s">
        <v>232</v>
      </c>
      <c r="C18" s="15"/>
      <c r="D18" s="15"/>
      <c r="E18" s="307"/>
      <c r="F18" s="308" t="n">
        <v>52.53</v>
      </c>
      <c r="G18" s="308" t="n">
        <v>54.1059</v>
      </c>
      <c r="H18" s="308" t="n">
        <v>56.821804</v>
      </c>
      <c r="I18" s="308" t="n">
        <v>58.52645812</v>
      </c>
      <c r="J18" s="308" t="n">
        <v>60.2822518636</v>
      </c>
      <c r="K18" s="308" t="n">
        <v>62.090719419508</v>
      </c>
      <c r="L18" s="308" t="n">
        <v>63.9534410020932</v>
      </c>
      <c r="M18" s="308" t="n">
        <v>63.3385040693808</v>
      </c>
      <c r="N18" s="308" t="n">
        <v>62.6291128238037</v>
      </c>
      <c r="O18" s="308" t="n">
        <v>60.4762370704855</v>
      </c>
      <c r="P18" s="308" t="n">
        <v>59.5220564411512</v>
      </c>
      <c r="Q18" s="308" t="n">
        <v>58.4561963606933</v>
      </c>
      <c r="R18" s="308" t="n">
        <v>58.7413485380626</v>
      </c>
      <c r="S18" s="308" t="n">
        <v>58.9909992693493</v>
      </c>
      <c r="T18" s="308" t="n">
        <v>57.6447944142283</v>
      </c>
      <c r="U18" s="308" t="n">
        <v>57.7694318075563</v>
      </c>
      <c r="V18" s="308" t="n">
        <v>57.8496671295113</v>
      </c>
      <c r="W18" s="308" t="n">
        <v>59.5851571433966</v>
      </c>
      <c r="X18" s="308" t="n">
        <v>61.3727118576985</v>
      </c>
      <c r="Y18" s="308" t="n">
        <v>61.4077819787601</v>
      </c>
      <c r="Z18" s="308" t="n">
        <v>63.2500154381228</v>
      </c>
      <c r="AA18" s="308" t="n">
        <v>65.1475159012665</v>
      </c>
      <c r="AB18" s="308" t="n">
        <v>65.1475159012665</v>
      </c>
      <c r="AC18" s="308" t="n">
        <v>65.1475159012665</v>
      </c>
      <c r="AD18" s="308" t="n">
        <v>65.1475159012665</v>
      </c>
      <c r="AE18" s="308" t="n">
        <v>65.1475159012665</v>
      </c>
      <c r="AF18" s="308" t="n">
        <v>65.1475159012665</v>
      </c>
      <c r="AG18" s="308" t="n">
        <v>65.1475159012665</v>
      </c>
      <c r="AH18" s="308" t="n">
        <v>65.1475159012665</v>
      </c>
      <c r="AI18" s="308" t="n">
        <v>65.1475159012665</v>
      </c>
      <c r="AJ18" s="308" t="n">
        <v>65.1475159012665</v>
      </c>
    </row>
    <row r="19" customFormat="false" ht="15.75" hidden="false" customHeight="false" outlineLevel="0" collapsed="false">
      <c r="A19" s="305" t="s">
        <v>235</v>
      </c>
      <c r="B19" s="15"/>
      <c r="C19" s="15"/>
      <c r="D19" s="15"/>
      <c r="E19" s="15"/>
      <c r="F19" s="300"/>
      <c r="G19" s="300"/>
      <c r="H19" s="300"/>
      <c r="I19" s="300"/>
      <c r="J19" s="300"/>
      <c r="K19" s="300"/>
      <c r="L19" s="300"/>
      <c r="M19" s="300"/>
      <c r="N19" s="300"/>
      <c r="O19" s="300"/>
      <c r="P19" s="300"/>
      <c r="Q19" s="300"/>
      <c r="R19" s="300"/>
      <c r="S19" s="300"/>
      <c r="T19" s="300"/>
      <c r="U19" s="300"/>
      <c r="V19" s="300"/>
      <c r="W19" s="300"/>
      <c r="X19" s="300"/>
      <c r="Y19" s="300"/>
      <c r="Z19" s="300"/>
      <c r="AA19" s="300"/>
      <c r="AB19" s="300"/>
      <c r="AC19" s="300"/>
      <c r="AD19" s="300"/>
      <c r="AE19" s="300"/>
      <c r="AF19" s="300"/>
      <c r="AG19" s="300"/>
      <c r="AH19" s="300"/>
      <c r="AI19" s="300"/>
      <c r="AJ19" s="300"/>
    </row>
    <row r="20" customFormat="false" ht="15.75" hidden="false" customHeight="false" outlineLevel="0" collapsed="false">
      <c r="A20" s="255" t="n">
        <v>1</v>
      </c>
      <c r="B20" s="15" t="s">
        <v>236</v>
      </c>
      <c r="C20" s="15"/>
      <c r="D20" s="15"/>
      <c r="E20" s="310"/>
      <c r="F20" s="310" t="n">
        <f aca="false">F17/12</f>
        <v>5.49333333333333</v>
      </c>
      <c r="G20" s="310" t="n">
        <f aca="false">G17/12</f>
        <v>5.65813333333333</v>
      </c>
      <c r="H20" s="310" t="n">
        <f aca="false">H17/12</f>
        <v>5.64575616666667</v>
      </c>
      <c r="I20" s="310" t="n">
        <f aca="false">I17/12</f>
        <v>5.72133645083333</v>
      </c>
      <c r="J20" s="310" t="n">
        <f aca="false">J17/12</f>
        <v>5.69976419864167</v>
      </c>
      <c r="K20" s="310" t="n">
        <f aca="false">K17/12</f>
        <v>5.77125276655683</v>
      </c>
      <c r="L20" s="310" t="n">
        <f aca="false">L17/12</f>
        <v>5.84190086076813</v>
      </c>
      <c r="M20" s="310" t="n">
        <f aca="false">M17/12</f>
        <v>5.91159371314221</v>
      </c>
      <c r="N20" s="310" t="n">
        <f aca="false">N17/12</f>
        <v>6.08894152453647</v>
      </c>
      <c r="O20" s="310" t="n">
        <f aca="false">O17/12</f>
        <v>6.15961673866056</v>
      </c>
      <c r="P20" s="310" t="n">
        <f aca="false">P17/12</f>
        <v>6.34440524082038</v>
      </c>
      <c r="Q20" s="310" t="n">
        <f aca="false">Q17/12</f>
        <v>6.4159239908078</v>
      </c>
      <c r="R20" s="310" t="n">
        <f aca="false">R17/12</f>
        <v>6.60840171053204</v>
      </c>
      <c r="S20" s="310" t="n">
        <f aca="false">S17/12</f>
        <v>6.68060461811007</v>
      </c>
      <c r="T20" s="310" t="n">
        <f aca="false">T17/12</f>
        <v>6.75119213860331</v>
      </c>
      <c r="U20" s="310" t="n">
        <f aca="false">U17/12</f>
        <v>6.82000236616985</v>
      </c>
      <c r="V20" s="310" t="n">
        <f aca="false">V17/12</f>
        <v>6.88686513446563</v>
      </c>
      <c r="W20" s="310" t="n">
        <f aca="false">W17/12</f>
        <v>6.95160166672961</v>
      </c>
      <c r="X20" s="310" t="n">
        <f aca="false">X17/12</f>
        <v>7.0140242123084</v>
      </c>
      <c r="Y20" s="310" t="n">
        <f aca="false">Y17/12</f>
        <v>7.07393566912187</v>
      </c>
      <c r="Z20" s="310" t="n">
        <f aca="false">Z17/12</f>
        <v>7.13112919155307</v>
      </c>
      <c r="AA20" s="310" t="n">
        <f aca="false">AA17/12</f>
        <v>7.18538778322793</v>
      </c>
      <c r="AB20" s="310" t="n">
        <f aca="false">AB17/12</f>
        <v>7.18538778322793</v>
      </c>
      <c r="AC20" s="310" t="n">
        <f aca="false">AC17/12</f>
        <v>7.18538778322793</v>
      </c>
      <c r="AD20" s="310" t="n">
        <f aca="false">AD17/12</f>
        <v>7.18538778322793</v>
      </c>
      <c r="AE20" s="310" t="n">
        <f aca="false">AE17/12</f>
        <v>7.18538778322793</v>
      </c>
      <c r="AF20" s="310" t="n">
        <f aca="false">AF17/12</f>
        <v>7.18538778322793</v>
      </c>
      <c r="AG20" s="310" t="n">
        <f aca="false">AG17/12</f>
        <v>7.18538778322793</v>
      </c>
      <c r="AH20" s="310" t="n">
        <f aca="false">AH17/12</f>
        <v>7.18538778322793</v>
      </c>
      <c r="AI20" s="310" t="n">
        <f aca="false">AI17/12</f>
        <v>7.18538778322793</v>
      </c>
      <c r="AJ20" s="310" t="n">
        <f aca="false">AJ17/12</f>
        <v>7.18538778322793</v>
      </c>
    </row>
    <row r="21" customFormat="false" ht="15.75" hidden="false" customHeight="false" outlineLevel="0" collapsed="false">
      <c r="A21" s="255" t="n">
        <v>2</v>
      </c>
      <c r="B21" s="15" t="s">
        <v>237</v>
      </c>
      <c r="C21" s="15"/>
      <c r="D21" s="15"/>
      <c r="E21" s="310"/>
      <c r="F21" s="310" t="n">
        <f aca="false">F18/12</f>
        <v>4.3775</v>
      </c>
      <c r="G21" s="310" t="n">
        <f aca="false">G18/12</f>
        <v>4.508825</v>
      </c>
      <c r="H21" s="310" t="n">
        <f aca="false">H18/12</f>
        <v>4.73515033333333</v>
      </c>
      <c r="I21" s="310" t="n">
        <f aca="false">I18/12</f>
        <v>4.87720484333333</v>
      </c>
      <c r="J21" s="310" t="n">
        <f aca="false">J18/12</f>
        <v>5.02352098863333</v>
      </c>
      <c r="K21" s="310" t="n">
        <f aca="false">K18/12</f>
        <v>5.17422661829233</v>
      </c>
      <c r="L21" s="310" t="n">
        <f aca="false">L18/12</f>
        <v>5.3294534168411</v>
      </c>
      <c r="M21" s="310" t="n">
        <f aca="false">M18/12</f>
        <v>5.2782086724484</v>
      </c>
      <c r="N21" s="310" t="n">
        <f aca="false">N18/12</f>
        <v>5.21909273531698</v>
      </c>
      <c r="O21" s="310" t="n">
        <f aca="false">O18/12</f>
        <v>5.03968642254046</v>
      </c>
      <c r="P21" s="310" t="n">
        <f aca="false">P18/12</f>
        <v>4.96017137009593</v>
      </c>
      <c r="Q21" s="310" t="n">
        <f aca="false">Q18/12</f>
        <v>4.87134969672444</v>
      </c>
      <c r="R21" s="310" t="n">
        <f aca="false">R18/12</f>
        <v>4.89511237817188</v>
      </c>
      <c r="S21" s="310" t="n">
        <f aca="false">S18/12</f>
        <v>4.91591660577911</v>
      </c>
      <c r="T21" s="310" t="n">
        <f aca="false">T18/12</f>
        <v>4.80373286785236</v>
      </c>
      <c r="U21" s="310" t="n">
        <f aca="false">U18/12</f>
        <v>4.81411931729636</v>
      </c>
      <c r="V21" s="310" t="n">
        <f aca="false">V18/12</f>
        <v>4.82080559412594</v>
      </c>
      <c r="W21" s="310" t="n">
        <f aca="false">W18/12</f>
        <v>4.96542976194972</v>
      </c>
      <c r="X21" s="310" t="n">
        <f aca="false">X18/12</f>
        <v>5.11439265480821</v>
      </c>
      <c r="Y21" s="310" t="n">
        <f aca="false">Y18/12</f>
        <v>5.11731516489667</v>
      </c>
      <c r="Z21" s="310" t="n">
        <f aca="false">Z18/12</f>
        <v>5.27083461984357</v>
      </c>
      <c r="AA21" s="310" t="n">
        <f aca="false">AA18/12</f>
        <v>5.42895965843888</v>
      </c>
      <c r="AB21" s="310" t="n">
        <f aca="false">AB18/12</f>
        <v>5.42895965843888</v>
      </c>
      <c r="AC21" s="310" t="n">
        <f aca="false">AC18/12</f>
        <v>5.42895965843888</v>
      </c>
      <c r="AD21" s="310" t="n">
        <f aca="false">AD18/12</f>
        <v>5.42895965843888</v>
      </c>
      <c r="AE21" s="310" t="n">
        <f aca="false">AE18/12</f>
        <v>5.42895965843888</v>
      </c>
      <c r="AF21" s="310" t="n">
        <f aca="false">AF18/12</f>
        <v>5.42895965843888</v>
      </c>
      <c r="AG21" s="310" t="n">
        <f aca="false">AG18/12</f>
        <v>5.42895965843888</v>
      </c>
      <c r="AH21" s="310" t="n">
        <f aca="false">AH18/12</f>
        <v>5.42895965843888</v>
      </c>
      <c r="AI21" s="310" t="n">
        <f aca="false">AI18/12</f>
        <v>5.42895965843888</v>
      </c>
      <c r="AJ21" s="310" t="n">
        <f aca="false">AJ18/12</f>
        <v>5.42895965843888</v>
      </c>
    </row>
    <row r="22" customFormat="false" ht="15.75" hidden="false" customHeight="false" outlineLevel="0" collapsed="false">
      <c r="A22" s="255" t="n">
        <v>3</v>
      </c>
      <c r="B22" s="15" t="s">
        <v>238</v>
      </c>
      <c r="C22" s="15"/>
      <c r="D22" s="15"/>
      <c r="E22" s="310"/>
      <c r="F22" s="308" t="n">
        <v>0</v>
      </c>
      <c r="G22" s="308" t="n">
        <v>0</v>
      </c>
      <c r="H22" s="308" t="n">
        <v>0</v>
      </c>
      <c r="I22" s="308" t="n">
        <v>0</v>
      </c>
      <c r="J22" s="308" t="n">
        <v>0</v>
      </c>
      <c r="K22" s="308" t="n">
        <v>0</v>
      </c>
      <c r="L22" s="308" t="n">
        <v>0</v>
      </c>
      <c r="M22" s="308" t="n">
        <v>0</v>
      </c>
      <c r="N22" s="308" t="n">
        <v>0</v>
      </c>
      <c r="O22" s="308" t="n">
        <v>0</v>
      </c>
      <c r="P22" s="308" t="n">
        <v>0</v>
      </c>
      <c r="Q22" s="308" t="n">
        <v>0</v>
      </c>
      <c r="R22" s="308" t="n">
        <v>0</v>
      </c>
      <c r="S22" s="308" t="n">
        <v>0</v>
      </c>
      <c r="T22" s="308" t="n">
        <v>0</v>
      </c>
      <c r="U22" s="308" t="n">
        <v>0</v>
      </c>
      <c r="V22" s="308" t="n">
        <v>0</v>
      </c>
      <c r="W22" s="308" t="n">
        <v>0</v>
      </c>
      <c r="X22" s="308" t="n">
        <v>0</v>
      </c>
      <c r="Y22" s="308" t="n">
        <v>0</v>
      </c>
      <c r="Z22" s="308" t="n">
        <v>0</v>
      </c>
      <c r="AA22" s="308" t="n">
        <v>0</v>
      </c>
      <c r="AB22" s="308" t="n">
        <v>0</v>
      </c>
      <c r="AC22" s="308" t="n">
        <v>0</v>
      </c>
      <c r="AD22" s="308" t="n">
        <v>0</v>
      </c>
      <c r="AE22" s="308" t="n">
        <v>0</v>
      </c>
      <c r="AF22" s="308" t="n">
        <v>0</v>
      </c>
      <c r="AG22" s="308" t="n">
        <v>0</v>
      </c>
      <c r="AH22" s="308" t="n">
        <v>0</v>
      </c>
      <c r="AI22" s="308" t="n">
        <v>0</v>
      </c>
      <c r="AJ22" s="308" t="n">
        <v>0</v>
      </c>
      <c r="AK22" s="310"/>
      <c r="AL22" s="310"/>
      <c r="AM22" s="310"/>
      <c r="AN22" s="310"/>
      <c r="AO22" s="310"/>
      <c r="AP22" s="310"/>
      <c r="AQ22" s="310"/>
      <c r="AR22" s="310"/>
      <c r="AS22" s="310"/>
      <c r="AT22" s="310"/>
    </row>
    <row r="23" customFormat="false" ht="15.75" hidden="false" customHeight="false" outlineLevel="0" collapsed="false">
      <c r="A23" s="255" t="n">
        <v>4</v>
      </c>
      <c r="B23" s="15" t="s">
        <v>239</v>
      </c>
      <c r="C23" s="15"/>
      <c r="D23" s="15"/>
      <c r="E23" s="310"/>
      <c r="F23" s="308" t="n">
        <v>4.5</v>
      </c>
      <c r="G23" s="308" t="n">
        <f aca="false">+F23</f>
        <v>4.5</v>
      </c>
      <c r="H23" s="308" t="n">
        <f aca="false">+G23</f>
        <v>4.5</v>
      </c>
      <c r="I23" s="308" t="n">
        <f aca="false">+H23</f>
        <v>4.5</v>
      </c>
      <c r="J23" s="308" t="n">
        <f aca="false">+I23</f>
        <v>4.5</v>
      </c>
      <c r="K23" s="308" t="n">
        <f aca="false">+J23</f>
        <v>4.5</v>
      </c>
      <c r="L23" s="308" t="n">
        <f aca="false">+K23</f>
        <v>4.5</v>
      </c>
      <c r="M23" s="308" t="n">
        <f aca="false">+L23</f>
        <v>4.5</v>
      </c>
      <c r="N23" s="308" t="n">
        <f aca="false">+M23</f>
        <v>4.5</v>
      </c>
      <c r="O23" s="308" t="n">
        <f aca="false">+N23</f>
        <v>4.5</v>
      </c>
      <c r="P23" s="308" t="n">
        <f aca="false">+O23</f>
        <v>4.5</v>
      </c>
      <c r="Q23" s="308" t="n">
        <f aca="false">+P23</f>
        <v>4.5</v>
      </c>
      <c r="R23" s="308" t="n">
        <f aca="false">+Q23</f>
        <v>4.5</v>
      </c>
      <c r="S23" s="308" t="n">
        <f aca="false">+R23</f>
        <v>4.5</v>
      </c>
      <c r="T23" s="308" t="n">
        <f aca="false">+S23</f>
        <v>4.5</v>
      </c>
      <c r="U23" s="308" t="n">
        <f aca="false">+T23</f>
        <v>4.5</v>
      </c>
      <c r="V23" s="308" t="n">
        <f aca="false">+U23</f>
        <v>4.5</v>
      </c>
      <c r="W23" s="308" t="n">
        <f aca="false">+V23</f>
        <v>4.5</v>
      </c>
      <c r="X23" s="308" t="n">
        <f aca="false">+W23</f>
        <v>4.5</v>
      </c>
      <c r="Y23" s="308" t="n">
        <f aca="false">+X23</f>
        <v>4.5</v>
      </c>
      <c r="Z23" s="308" t="n">
        <f aca="false">+Y23</f>
        <v>4.5</v>
      </c>
      <c r="AA23" s="308" t="n">
        <f aca="false">+Z23</f>
        <v>4.5</v>
      </c>
      <c r="AB23" s="308" t="n">
        <f aca="false">+AA23</f>
        <v>4.5</v>
      </c>
      <c r="AC23" s="308" t="n">
        <f aca="false">+AB23</f>
        <v>4.5</v>
      </c>
      <c r="AD23" s="308" t="n">
        <f aca="false">+AC23</f>
        <v>4.5</v>
      </c>
      <c r="AE23" s="308" t="n">
        <f aca="false">+AD23</f>
        <v>4.5</v>
      </c>
      <c r="AF23" s="308" t="n">
        <f aca="false">+AE23</f>
        <v>4.5</v>
      </c>
      <c r="AG23" s="308" t="n">
        <f aca="false">+AF23</f>
        <v>4.5</v>
      </c>
      <c r="AH23" s="308" t="n">
        <f aca="false">+AG23</f>
        <v>4.5</v>
      </c>
      <c r="AI23" s="308" t="n">
        <f aca="false">+AH23</f>
        <v>4.5</v>
      </c>
      <c r="AJ23" s="308" t="n">
        <f aca="false">+AI23</f>
        <v>4.5</v>
      </c>
    </row>
    <row r="24" customFormat="false" ht="15.75" hidden="false" customHeight="false" outlineLevel="0" collapsed="false">
      <c r="A24" s="15"/>
      <c r="B24" s="15"/>
      <c r="C24" s="15"/>
      <c r="D24" s="15"/>
      <c r="E24" s="310"/>
      <c r="F24" s="310"/>
      <c r="G24" s="310"/>
      <c r="H24" s="310"/>
      <c r="I24" s="310"/>
      <c r="J24" s="310"/>
      <c r="K24" s="310"/>
      <c r="L24" s="310"/>
      <c r="M24" s="310"/>
      <c r="N24" s="310"/>
      <c r="O24" s="310"/>
      <c r="P24" s="310"/>
      <c r="Q24" s="310"/>
      <c r="R24" s="310"/>
      <c r="S24" s="310"/>
      <c r="T24" s="310"/>
      <c r="U24" s="310"/>
      <c r="V24" s="310"/>
      <c r="W24" s="310"/>
      <c r="X24" s="310"/>
      <c r="Y24" s="310"/>
      <c r="Z24" s="310"/>
      <c r="AA24" s="310"/>
      <c r="AB24" s="310"/>
      <c r="AC24" s="310"/>
      <c r="AD24" s="310"/>
      <c r="AE24" s="310"/>
      <c r="AF24" s="310"/>
      <c r="AG24" s="310"/>
      <c r="AH24" s="310"/>
      <c r="AI24" s="310"/>
      <c r="AJ24" s="310"/>
    </row>
    <row r="25" customFormat="false" ht="15.75" hidden="false" customHeight="false" outlineLevel="0" collapsed="false">
      <c r="A25" s="15"/>
      <c r="B25" s="3" t="s">
        <v>235</v>
      </c>
      <c r="C25" s="311" t="n">
        <v>4</v>
      </c>
      <c r="D25" s="312"/>
      <c r="F25" s="313" t="n">
        <f aca="false">CHOOSE($C$25,F20,F21,F22,F23)</f>
        <v>4.5</v>
      </c>
      <c r="G25" s="313" t="n">
        <f aca="false">CHOOSE($C$25,G20,G21,G22,G23)</f>
        <v>4.5</v>
      </c>
      <c r="H25" s="313" t="n">
        <f aca="false">CHOOSE($C$25,H20,H21,H22,H23)</f>
        <v>4.5</v>
      </c>
      <c r="I25" s="313" t="n">
        <f aca="false">CHOOSE($C$25,I20,I21,I22,I23)</f>
        <v>4.5</v>
      </c>
      <c r="J25" s="313" t="n">
        <f aca="false">CHOOSE($C$25,J20,J21,J22,J23)</f>
        <v>4.5</v>
      </c>
      <c r="K25" s="313" t="n">
        <f aca="false">CHOOSE($C$25,K20,K21,K22,K23)</f>
        <v>4.5</v>
      </c>
      <c r="L25" s="313" t="n">
        <f aca="false">CHOOSE($C$25,L20,L21,L22,L23)</f>
        <v>4.5</v>
      </c>
      <c r="M25" s="313" t="n">
        <f aca="false">CHOOSE($C$25,M20,M21,M22,M23)</f>
        <v>4.5</v>
      </c>
      <c r="N25" s="313" t="n">
        <f aca="false">CHOOSE($C$25,N20,N21,N22,N23)</f>
        <v>4.5</v>
      </c>
      <c r="O25" s="313" t="n">
        <f aca="false">CHOOSE($C$25,O20,O21,O22,O23)</f>
        <v>4.5</v>
      </c>
      <c r="P25" s="313" t="n">
        <f aca="false">CHOOSE($C$25,P20,P21,P22,P23)</f>
        <v>4.5</v>
      </c>
      <c r="Q25" s="313" t="n">
        <f aca="false">CHOOSE($C$25,Q20,Q21,Q22,Q23)</f>
        <v>4.5</v>
      </c>
      <c r="R25" s="313" t="n">
        <f aca="false">CHOOSE($C$25,R20,R21,R22,R23)</f>
        <v>4.5</v>
      </c>
      <c r="S25" s="313" t="n">
        <f aca="false">CHOOSE($C$25,S20,S21,S22,S23)</f>
        <v>4.5</v>
      </c>
      <c r="T25" s="313" t="n">
        <f aca="false">CHOOSE($C$25,T20,T21,T22,T23)</f>
        <v>4.5</v>
      </c>
      <c r="U25" s="313" t="n">
        <f aca="false">CHOOSE($C$25,U20,U21,U22,U23)</f>
        <v>4.5</v>
      </c>
      <c r="V25" s="313" t="n">
        <f aca="false">CHOOSE($C$25,V20,V21,V22,V23)</f>
        <v>4.5</v>
      </c>
      <c r="W25" s="313" t="n">
        <f aca="false">CHOOSE($C$25,W20,W21,W22,W23)</f>
        <v>4.5</v>
      </c>
      <c r="X25" s="313" t="n">
        <f aca="false">CHOOSE($C$25,X20,X21,X22,X23)</f>
        <v>4.5</v>
      </c>
      <c r="Y25" s="313" t="n">
        <f aca="false">CHOOSE($C$25,Y20,Y21,Y22,Y23)</f>
        <v>4.5</v>
      </c>
      <c r="Z25" s="313" t="n">
        <f aca="false">CHOOSE($C$25,Z20,Z21,Z22,Z23)</f>
        <v>4.5</v>
      </c>
      <c r="AA25" s="313" t="n">
        <f aca="false">CHOOSE($C$25,AA20,AA21,AA22,AA23)</f>
        <v>4.5</v>
      </c>
      <c r="AB25" s="313" t="n">
        <f aca="false">CHOOSE($C$25,AB20,AB21,AB22,AB23)</f>
        <v>4.5</v>
      </c>
      <c r="AC25" s="313" t="n">
        <f aca="false">CHOOSE($C$25,AC20,AC21,AC22,AC23)</f>
        <v>4.5</v>
      </c>
      <c r="AD25" s="313" t="n">
        <f aca="false">CHOOSE($C$25,AD20,AD21,AD22,AD23)</f>
        <v>4.5</v>
      </c>
      <c r="AE25" s="313" t="n">
        <f aca="false">CHOOSE($C$25,AE20,AE21,AE22,AE23)</f>
        <v>4.5</v>
      </c>
      <c r="AF25" s="313" t="n">
        <f aca="false">CHOOSE($C$25,AF20,AF21,AF22,AF23)</f>
        <v>4.5</v>
      </c>
      <c r="AG25" s="313" t="n">
        <f aca="false">CHOOSE($C$25,AG20,AG21,AG22,AG23)</f>
        <v>4.5</v>
      </c>
      <c r="AH25" s="313" t="n">
        <f aca="false">CHOOSE($C$25,AH20,AH21,AH22,AH23)</f>
        <v>4.5</v>
      </c>
      <c r="AI25" s="313" t="n">
        <f aca="false">CHOOSE($C$25,AI20,AI21,AI22,AI23)</f>
        <v>4.5</v>
      </c>
      <c r="AJ25" s="313" t="n">
        <f aca="false">CHOOSE($C$25,AJ20,AJ21,AJ22,AJ23)</f>
        <v>4.5</v>
      </c>
    </row>
    <row r="26" customFormat="false" ht="15.75" hidden="false" customHeight="false" outlineLevel="0" collapsed="false">
      <c r="A26" s="15"/>
      <c r="B26" s="3"/>
      <c r="C26" s="312"/>
      <c r="D26" s="312"/>
      <c r="E26" s="314"/>
      <c r="F26" s="314"/>
      <c r="G26" s="314"/>
      <c r="H26" s="314"/>
      <c r="I26" s="314"/>
      <c r="J26" s="314"/>
      <c r="K26" s="314"/>
      <c r="L26" s="314"/>
      <c r="M26" s="314"/>
      <c r="N26" s="314"/>
      <c r="O26" s="314"/>
      <c r="P26" s="314"/>
      <c r="Q26" s="314"/>
      <c r="R26" s="314"/>
      <c r="S26" s="314"/>
      <c r="T26" s="314"/>
      <c r="U26" s="314"/>
      <c r="V26" s="314"/>
      <c r="W26" s="314"/>
      <c r="X26" s="314"/>
      <c r="Y26" s="314"/>
      <c r="Z26" s="314"/>
      <c r="AA26" s="315"/>
      <c r="AB26" s="316"/>
      <c r="AC26" s="316"/>
    </row>
    <row r="27" customFormat="false" ht="15.75" hidden="false" customHeight="false" outlineLevel="0" collapsed="false">
      <c r="A27" s="15"/>
      <c r="B27" s="15"/>
      <c r="C27" s="312"/>
      <c r="D27" s="312"/>
      <c r="E27" s="317"/>
      <c r="F27" s="0"/>
      <c r="G27" s="0"/>
      <c r="H27" s="0"/>
      <c r="I27" s="0"/>
      <c r="J27" s="0"/>
      <c r="K27" s="0"/>
      <c r="L27" s="0"/>
      <c r="M27" s="0"/>
      <c r="N27" s="0"/>
      <c r="O27" s="0"/>
      <c r="P27" s="0"/>
      <c r="Q27" s="0"/>
      <c r="R27" s="0"/>
      <c r="S27" s="0"/>
      <c r="T27" s="0"/>
      <c r="U27" s="0"/>
      <c r="V27" s="0"/>
      <c r="W27" s="0"/>
      <c r="X27" s="0"/>
      <c r="Y27" s="0"/>
      <c r="Z27" s="0"/>
      <c r="AA27" s="0"/>
    </row>
    <row r="28" customFormat="false" ht="15.75" hidden="false" customHeight="false" outlineLevel="0" collapsed="false">
      <c r="A28" s="15"/>
      <c r="B28" s="15"/>
      <c r="C28" s="312"/>
      <c r="D28" s="312"/>
      <c r="E28" s="317"/>
      <c r="F28" s="318"/>
      <c r="G28" s="318"/>
      <c r="H28" s="318"/>
      <c r="I28" s="318"/>
      <c r="J28" s="318"/>
      <c r="K28" s="318"/>
      <c r="L28" s="318"/>
      <c r="M28" s="318"/>
      <c r="N28" s="318"/>
      <c r="O28" s="318"/>
      <c r="P28" s="318"/>
      <c r="Q28" s="318"/>
      <c r="R28" s="318"/>
      <c r="S28" s="318"/>
      <c r="T28" s="318"/>
      <c r="U28" s="318"/>
      <c r="V28" s="318"/>
      <c r="W28" s="318"/>
      <c r="X28" s="318"/>
      <c r="Y28" s="318"/>
      <c r="Z28" s="318"/>
    </row>
    <row r="29" customFormat="false" ht="15.75" hidden="false" customHeight="false" outlineLevel="0" collapsed="false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</row>
    <row r="30" customFormat="false" ht="15.75" hidden="false" customHeight="false" outlineLevel="0" collapsed="false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</row>
    <row r="31" customFormat="false" ht="18.75" hidden="false" customHeight="false" outlineLevel="0" collapsed="false">
      <c r="A31" s="2" t="s">
        <v>240</v>
      </c>
      <c r="B31" s="319"/>
      <c r="C31" s="15"/>
      <c r="D31" s="15"/>
      <c r="E31" s="15"/>
      <c r="F31" s="303" t="n">
        <f aca="false">(Assumptions!J17/12)</f>
        <v>0.668493150684932</v>
      </c>
      <c r="G31" s="303" t="n">
        <f aca="false">F31+1</f>
        <v>1.66849315068493</v>
      </c>
      <c r="H31" s="303" t="n">
        <f aca="false">G31+1</f>
        <v>2.66849315068493</v>
      </c>
      <c r="I31" s="303" t="n">
        <f aca="false">H31+1</f>
        <v>3.66849315068493</v>
      </c>
      <c r="J31" s="303" t="n">
        <f aca="false">I31+1</f>
        <v>4.66849315068493</v>
      </c>
      <c r="K31" s="303" t="n">
        <f aca="false">J31+1</f>
        <v>5.66849315068493</v>
      </c>
      <c r="L31" s="303" t="n">
        <f aca="false">K31+1</f>
        <v>6.66849315068493</v>
      </c>
      <c r="M31" s="303" t="n">
        <f aca="false">L31+1</f>
        <v>7.66849315068493</v>
      </c>
      <c r="N31" s="303" t="n">
        <f aca="false">M31+1</f>
        <v>8.66849315068493</v>
      </c>
      <c r="O31" s="303" t="n">
        <f aca="false">N31+1</f>
        <v>9.66849315068493</v>
      </c>
      <c r="P31" s="303" t="n">
        <f aca="false">O31+1</f>
        <v>10.6684931506849</v>
      </c>
      <c r="Q31" s="303" t="n">
        <f aca="false">P31+1</f>
        <v>11.6684931506849</v>
      </c>
      <c r="R31" s="303" t="n">
        <f aca="false">Q31+1</f>
        <v>12.6684931506849</v>
      </c>
      <c r="S31" s="303" t="n">
        <f aca="false">R31+1</f>
        <v>13.6684931506849</v>
      </c>
      <c r="T31" s="303" t="n">
        <f aca="false">S31+1</f>
        <v>14.6684931506849</v>
      </c>
      <c r="U31" s="303" t="n">
        <f aca="false">T31+1</f>
        <v>15.6684931506849</v>
      </c>
      <c r="V31" s="303" t="n">
        <f aca="false">U31+1</f>
        <v>16.6684931506849</v>
      </c>
      <c r="W31" s="303" t="n">
        <f aca="false">V31+1</f>
        <v>17.6684931506849</v>
      </c>
      <c r="X31" s="303" t="n">
        <f aca="false">W31+1</f>
        <v>18.6684931506849</v>
      </c>
      <c r="Y31" s="303" t="n">
        <f aca="false">X31+1</f>
        <v>19.6684931506849</v>
      </c>
      <c r="Z31" s="303" t="n">
        <f aca="false">Y31+1</f>
        <v>20.6684931506849</v>
      </c>
      <c r="AA31" s="303" t="n">
        <f aca="false">Z31+1</f>
        <v>21.6684931506849</v>
      </c>
      <c r="AB31" s="303" t="n">
        <f aca="false">AA31+1</f>
        <v>22.6684931506849</v>
      </c>
      <c r="AC31" s="303" t="n">
        <f aca="false">AB31+1</f>
        <v>23.6684931506849</v>
      </c>
      <c r="AD31" s="303" t="n">
        <f aca="false">AC31+1</f>
        <v>24.6684931506849</v>
      </c>
      <c r="AE31" s="303" t="n">
        <f aca="false">AD31+1</f>
        <v>25.6684931506849</v>
      </c>
      <c r="AF31" s="303" t="n">
        <f aca="false">AE31+1</f>
        <v>26.6684931506849</v>
      </c>
      <c r="AG31" s="303" t="n">
        <f aca="false">AF31+1</f>
        <v>27.6684931506849</v>
      </c>
      <c r="AH31" s="303" t="n">
        <f aca="false">AG31+1</f>
        <v>28.6684931506849</v>
      </c>
      <c r="AI31" s="303" t="n">
        <f aca="false">AH31+1</f>
        <v>29.6684931506849</v>
      </c>
      <c r="AJ31" s="303" t="n">
        <f aca="false">AI31+1</f>
        <v>30.6684931506849</v>
      </c>
    </row>
    <row r="32" customFormat="false" ht="15.75" hidden="false" customHeight="false" outlineLevel="0" collapsed="false">
      <c r="A32" s="15"/>
      <c r="B32" s="15"/>
      <c r="C32" s="15"/>
      <c r="D32" s="15"/>
      <c r="E32" s="15"/>
      <c r="F32" s="304" t="n">
        <f aca="false">YEAR(Assumptions!J16)</f>
        <v>2001</v>
      </c>
      <c r="G32" s="304" t="n">
        <f aca="false">F32+1</f>
        <v>2002</v>
      </c>
      <c r="H32" s="304" t="n">
        <f aca="false">G32+1</f>
        <v>2003</v>
      </c>
      <c r="I32" s="304" t="n">
        <f aca="false">H32+1</f>
        <v>2004</v>
      </c>
      <c r="J32" s="304" t="n">
        <f aca="false">I32+1</f>
        <v>2005</v>
      </c>
      <c r="K32" s="304" t="n">
        <f aca="false">J32+1</f>
        <v>2006</v>
      </c>
      <c r="L32" s="304" t="n">
        <f aca="false">K32+1</f>
        <v>2007</v>
      </c>
      <c r="M32" s="304" t="n">
        <f aca="false">L32+1</f>
        <v>2008</v>
      </c>
      <c r="N32" s="304" t="n">
        <f aca="false">M32+1</f>
        <v>2009</v>
      </c>
      <c r="O32" s="304" t="n">
        <f aca="false">N32+1</f>
        <v>2010</v>
      </c>
      <c r="P32" s="304" t="n">
        <f aca="false">O32+1</f>
        <v>2011</v>
      </c>
      <c r="Q32" s="304" t="n">
        <f aca="false">P32+1</f>
        <v>2012</v>
      </c>
      <c r="R32" s="304" t="n">
        <f aca="false">Q32+1</f>
        <v>2013</v>
      </c>
      <c r="S32" s="304" t="n">
        <f aca="false">R32+1</f>
        <v>2014</v>
      </c>
      <c r="T32" s="304" t="n">
        <f aca="false">S32+1</f>
        <v>2015</v>
      </c>
      <c r="U32" s="304" t="n">
        <f aca="false">T32+1</f>
        <v>2016</v>
      </c>
      <c r="V32" s="304" t="n">
        <f aca="false">U32+1</f>
        <v>2017</v>
      </c>
      <c r="W32" s="304" t="n">
        <f aca="false">V32+1</f>
        <v>2018</v>
      </c>
      <c r="X32" s="304" t="n">
        <f aca="false">W32+1</f>
        <v>2019</v>
      </c>
      <c r="Y32" s="304" t="n">
        <f aca="false">X32+1</f>
        <v>2020</v>
      </c>
      <c r="Z32" s="304" t="n">
        <f aca="false">Y32+1</f>
        <v>2021</v>
      </c>
      <c r="AA32" s="304" t="n">
        <f aca="false">Z32+1</f>
        <v>2022</v>
      </c>
      <c r="AB32" s="304" t="n">
        <f aca="false">AA32+1</f>
        <v>2023</v>
      </c>
      <c r="AC32" s="304" t="n">
        <f aca="false">AB32+1</f>
        <v>2024</v>
      </c>
      <c r="AD32" s="304" t="n">
        <f aca="false">AC32+1</f>
        <v>2025</v>
      </c>
      <c r="AE32" s="304" t="n">
        <f aca="false">AD32+1</f>
        <v>2026</v>
      </c>
      <c r="AF32" s="304" t="n">
        <f aca="false">AE32+1</f>
        <v>2027</v>
      </c>
      <c r="AG32" s="304" t="n">
        <f aca="false">AF32+1</f>
        <v>2028</v>
      </c>
      <c r="AH32" s="304" t="n">
        <f aca="false">AG32+1</f>
        <v>2029</v>
      </c>
      <c r="AI32" s="304" t="n">
        <f aca="false">AH32+1</f>
        <v>2030</v>
      </c>
      <c r="AJ32" s="304" t="n">
        <f aca="false">AI32+1</f>
        <v>2031</v>
      </c>
    </row>
    <row r="33" customFormat="false" ht="15.75" hidden="false" customHeight="false" outlineLevel="0" collapsed="false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</row>
    <row r="34" customFormat="false" ht="15.75" hidden="false" customHeight="false" outlineLevel="0" collapsed="false">
      <c r="A34" s="305" t="s">
        <v>241</v>
      </c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</row>
    <row r="35" customFormat="false" ht="15.75" hidden="false" customHeight="false" outlineLevel="0" collapsed="false">
      <c r="A35" s="15" t="n">
        <v>1</v>
      </c>
      <c r="B35" s="15" t="s">
        <v>242</v>
      </c>
      <c r="C35" s="306"/>
      <c r="D35" s="306"/>
      <c r="E35" s="307"/>
      <c r="F35" s="308" t="n">
        <v>2.2</v>
      </c>
      <c r="G35" s="308" t="n">
        <v>2.2</v>
      </c>
      <c r="H35" s="308" t="n">
        <v>2.2</v>
      </c>
      <c r="I35" s="308" t="n">
        <v>2.2</v>
      </c>
      <c r="J35" s="308" t="n">
        <v>2.2</v>
      </c>
      <c r="K35" s="308" t="n">
        <v>2.2</v>
      </c>
      <c r="L35" s="308" t="n">
        <v>2.2</v>
      </c>
      <c r="M35" s="308" t="n">
        <v>2.2</v>
      </c>
      <c r="N35" s="308" t="n">
        <v>2.2</v>
      </c>
      <c r="O35" s="308" t="n">
        <v>2.2</v>
      </c>
      <c r="P35" s="308" t="n">
        <v>2.2</v>
      </c>
      <c r="Q35" s="308" t="n">
        <v>2.2</v>
      </c>
      <c r="R35" s="308" t="n">
        <v>2.2</v>
      </c>
      <c r="S35" s="308" t="n">
        <v>2.2</v>
      </c>
      <c r="T35" s="308" t="n">
        <v>2.2</v>
      </c>
      <c r="U35" s="308" t="n">
        <v>2.2</v>
      </c>
      <c r="V35" s="308" t="n">
        <v>2.2</v>
      </c>
      <c r="W35" s="308" t="n">
        <v>2.2</v>
      </c>
      <c r="X35" s="308" t="n">
        <v>2.2</v>
      </c>
      <c r="Y35" s="308" t="n">
        <v>2.2</v>
      </c>
      <c r="Z35" s="308" t="n">
        <v>2.2</v>
      </c>
      <c r="AA35" s="308" t="n">
        <v>2.2</v>
      </c>
      <c r="AB35" s="308" t="n">
        <v>2.2</v>
      </c>
      <c r="AC35" s="308" t="n">
        <v>2.2</v>
      </c>
      <c r="AD35" s="308" t="n">
        <v>2.2</v>
      </c>
      <c r="AE35" s="308" t="n">
        <v>2.2</v>
      </c>
      <c r="AF35" s="308" t="n">
        <v>2.2</v>
      </c>
      <c r="AG35" s="308" t="n">
        <v>2.2</v>
      </c>
      <c r="AH35" s="308" t="n">
        <v>2.2</v>
      </c>
      <c r="AI35" s="308" t="n">
        <v>2.2</v>
      </c>
      <c r="AJ35" s="308" t="n">
        <v>2.2</v>
      </c>
    </row>
    <row r="36" customFormat="false" ht="15.75" hidden="false" customHeight="false" outlineLevel="0" collapsed="false">
      <c r="A36" s="15" t="n">
        <v>2</v>
      </c>
      <c r="B36" s="15" t="s">
        <v>243</v>
      </c>
      <c r="C36" s="15"/>
      <c r="D36" s="15"/>
      <c r="E36" s="307"/>
      <c r="F36" s="308" t="n">
        <v>2</v>
      </c>
      <c r="G36" s="308" t="n">
        <v>2</v>
      </c>
      <c r="H36" s="308" t="n">
        <v>2</v>
      </c>
      <c r="I36" s="308" t="n">
        <v>2</v>
      </c>
      <c r="J36" s="308" t="n">
        <v>2</v>
      </c>
      <c r="K36" s="308" t="n">
        <v>2</v>
      </c>
      <c r="L36" s="308" t="n">
        <v>2</v>
      </c>
      <c r="M36" s="308" t="n">
        <v>2</v>
      </c>
      <c r="N36" s="308" t="n">
        <v>2</v>
      </c>
      <c r="O36" s="308" t="n">
        <v>2</v>
      </c>
      <c r="P36" s="308" t="n">
        <v>2</v>
      </c>
      <c r="Q36" s="308" t="n">
        <v>2</v>
      </c>
      <c r="R36" s="308" t="n">
        <v>2</v>
      </c>
      <c r="S36" s="308" t="n">
        <v>2</v>
      </c>
      <c r="T36" s="308" t="n">
        <v>2</v>
      </c>
      <c r="U36" s="308" t="n">
        <v>2</v>
      </c>
      <c r="V36" s="308" t="n">
        <v>2</v>
      </c>
      <c r="W36" s="308" t="n">
        <v>2</v>
      </c>
      <c r="X36" s="308" t="n">
        <v>2</v>
      </c>
      <c r="Y36" s="308" t="n">
        <v>2</v>
      </c>
      <c r="Z36" s="308" t="n">
        <v>2</v>
      </c>
      <c r="AA36" s="308" t="n">
        <v>2</v>
      </c>
      <c r="AB36" s="308" t="n">
        <v>2</v>
      </c>
      <c r="AC36" s="308" t="n">
        <v>2</v>
      </c>
      <c r="AD36" s="308" t="n">
        <v>2</v>
      </c>
      <c r="AE36" s="308" t="n">
        <v>2</v>
      </c>
      <c r="AF36" s="308" t="n">
        <v>2</v>
      </c>
      <c r="AG36" s="308" t="n">
        <v>2</v>
      </c>
      <c r="AH36" s="308" t="n">
        <v>2</v>
      </c>
      <c r="AI36" s="308" t="n">
        <v>2</v>
      </c>
      <c r="AJ36" s="308" t="n">
        <v>2</v>
      </c>
    </row>
    <row r="37" customFormat="false" ht="15.75" hidden="false" customHeight="false" outlineLevel="0" collapsed="false">
      <c r="A37" s="15"/>
      <c r="B37" s="15" t="s">
        <v>244</v>
      </c>
      <c r="C37" s="15"/>
      <c r="D37" s="15"/>
      <c r="E37" s="15"/>
      <c r="F37" s="320" t="n">
        <v>0</v>
      </c>
      <c r="G37" s="320" t="n">
        <v>0</v>
      </c>
      <c r="H37" s="320" t="n">
        <v>0</v>
      </c>
      <c r="I37" s="320" t="n">
        <v>0</v>
      </c>
      <c r="J37" s="320" t="n">
        <v>0</v>
      </c>
      <c r="K37" s="320" t="n">
        <v>0</v>
      </c>
      <c r="L37" s="320" t="n">
        <v>0</v>
      </c>
      <c r="M37" s="320" t="n">
        <v>0</v>
      </c>
      <c r="N37" s="320" t="n">
        <v>0</v>
      </c>
      <c r="O37" s="320" t="n">
        <v>0</v>
      </c>
      <c r="P37" s="320" t="n">
        <v>0</v>
      </c>
      <c r="Q37" s="320" t="n">
        <v>0</v>
      </c>
      <c r="R37" s="320" t="n">
        <v>0</v>
      </c>
      <c r="S37" s="320" t="n">
        <v>0</v>
      </c>
      <c r="T37" s="320" t="n">
        <v>0</v>
      </c>
      <c r="U37" s="320" t="n">
        <v>0</v>
      </c>
      <c r="V37" s="320" t="n">
        <v>0</v>
      </c>
      <c r="W37" s="320" t="n">
        <v>0</v>
      </c>
      <c r="X37" s="320" t="n">
        <v>0</v>
      </c>
      <c r="Y37" s="320" t="n">
        <v>0</v>
      </c>
      <c r="Z37" s="320" t="n">
        <v>0</v>
      </c>
      <c r="AA37" s="320" t="n">
        <v>0</v>
      </c>
      <c r="AB37" s="320" t="n">
        <v>0</v>
      </c>
      <c r="AC37" s="320" t="n">
        <v>0</v>
      </c>
      <c r="AD37" s="320" t="n">
        <v>0</v>
      </c>
      <c r="AE37" s="320" t="n">
        <v>0</v>
      </c>
      <c r="AF37" s="320" t="n">
        <v>0</v>
      </c>
      <c r="AG37" s="320" t="n">
        <v>0</v>
      </c>
      <c r="AH37" s="320" t="n">
        <v>0</v>
      </c>
      <c r="AI37" s="320" t="n">
        <v>0</v>
      </c>
      <c r="AJ37" s="320" t="n">
        <v>0</v>
      </c>
    </row>
    <row r="38" customFormat="false" ht="15.75" hidden="false" customHeight="false" outlineLevel="0" collapsed="false">
      <c r="A38" s="15"/>
      <c r="B38" s="15"/>
      <c r="C38" s="15"/>
      <c r="D38" s="15"/>
    </row>
    <row r="39" customFormat="false" ht="15.75" hidden="false" customHeight="false" outlineLevel="0" collapsed="false">
      <c r="A39" s="15"/>
      <c r="B39" s="3" t="s">
        <v>235</v>
      </c>
      <c r="C39" s="311" t="n">
        <v>1</v>
      </c>
      <c r="D39" s="15"/>
      <c r="F39" s="313" t="n">
        <f aca="false">CHOOSE($C$39,F35+F37,F36+F37)</f>
        <v>2.2</v>
      </c>
      <c r="G39" s="313" t="n">
        <f aca="false">CHOOSE($C$39,G35+G37,G36+G37)</f>
        <v>2.2</v>
      </c>
      <c r="H39" s="313" t="n">
        <f aca="false">CHOOSE($C$39,H35+H37,H36+H37)</f>
        <v>2.2</v>
      </c>
      <c r="I39" s="313" t="n">
        <f aca="false">CHOOSE($C$39,I35+I37,I36+I37)</f>
        <v>2.2</v>
      </c>
      <c r="J39" s="313" t="n">
        <f aca="false">CHOOSE($C$39,J35+J37,J36+J37)</f>
        <v>2.2</v>
      </c>
      <c r="K39" s="313" t="n">
        <f aca="false">CHOOSE($C$39,K35+K37,K36+K37)</f>
        <v>2.2</v>
      </c>
      <c r="L39" s="313" t="n">
        <f aca="false">CHOOSE($C$39,L35+L37,L36+L37)</f>
        <v>2.2</v>
      </c>
      <c r="M39" s="313" t="n">
        <f aca="false">CHOOSE($C$39,M35+M37,M36+M37)</f>
        <v>2.2</v>
      </c>
      <c r="N39" s="313" t="n">
        <f aca="false">CHOOSE($C$39,N35+N37,N36+N37)</f>
        <v>2.2</v>
      </c>
      <c r="O39" s="313" t="n">
        <f aca="false">CHOOSE($C$39,O35+O37,O36+O37)</f>
        <v>2.2</v>
      </c>
      <c r="P39" s="313" t="n">
        <f aca="false">CHOOSE($C$39,P35+P37,P36+P37)</f>
        <v>2.2</v>
      </c>
      <c r="Q39" s="313" t="n">
        <f aca="false">CHOOSE($C$39,Q35+Q37,Q36+Q37)</f>
        <v>2.2</v>
      </c>
      <c r="R39" s="313" t="n">
        <f aca="false">CHOOSE($C$39,R35+R37,R36+R37)</f>
        <v>2.2</v>
      </c>
      <c r="S39" s="313" t="n">
        <f aca="false">CHOOSE($C$39,S35+S37,S36+S37)</f>
        <v>2.2</v>
      </c>
      <c r="T39" s="313" t="n">
        <f aca="false">CHOOSE($C$39,T35+T37,T36+T37)</f>
        <v>2.2</v>
      </c>
      <c r="U39" s="313" t="n">
        <f aca="false">CHOOSE($C$39,U35+U37,U36+U37)</f>
        <v>2.2</v>
      </c>
      <c r="V39" s="313" t="n">
        <f aca="false">CHOOSE($C$39,V35+V37,V36+V37)</f>
        <v>2.2</v>
      </c>
      <c r="W39" s="313" t="n">
        <f aca="false">CHOOSE($C$39,W35+W37,W36+W37)</f>
        <v>2.2</v>
      </c>
      <c r="X39" s="313" t="n">
        <f aca="false">CHOOSE($C$39,X35+X37,X36+X37)</f>
        <v>2.2</v>
      </c>
      <c r="Y39" s="313" t="n">
        <f aca="false">CHOOSE($C$39,Y35+Y37,Y36+Y37)</f>
        <v>2.2</v>
      </c>
      <c r="Z39" s="313" t="n">
        <f aca="false">CHOOSE($C$39,Z35+Z37,Z36+Z37)</f>
        <v>2.2</v>
      </c>
      <c r="AA39" s="313" t="n">
        <f aca="false">CHOOSE($C$39,AA35+AA37,AA36+AA37)</f>
        <v>2.2</v>
      </c>
      <c r="AB39" s="313" t="n">
        <f aca="false">CHOOSE($C$39,AB35+AB37,AB36+AB37)</f>
        <v>2.2</v>
      </c>
      <c r="AC39" s="313" t="n">
        <f aca="false">CHOOSE($C$39,AC35+AC37,AC36+AC37)</f>
        <v>2.2</v>
      </c>
      <c r="AD39" s="313" t="n">
        <f aca="false">CHOOSE($C$39,AD35+AD37,AD36+AD37)</f>
        <v>2.2</v>
      </c>
      <c r="AE39" s="313" t="n">
        <f aca="false">CHOOSE($C$39,AE35+AE37,AE36+AE37)</f>
        <v>2.2</v>
      </c>
      <c r="AF39" s="313" t="n">
        <f aca="false">CHOOSE($C$39,AF35+AF37,AF36+AF37)</f>
        <v>2.2</v>
      </c>
      <c r="AG39" s="313" t="n">
        <f aca="false">CHOOSE($C$39,AG35+AG37,AG36+AG37)</f>
        <v>2.2</v>
      </c>
      <c r="AH39" s="313" t="n">
        <f aca="false">CHOOSE($C$39,AH35+AH37,AH36+AH37)</f>
        <v>2.2</v>
      </c>
      <c r="AI39" s="313" t="n">
        <f aca="false">CHOOSE($C$39,AI35+AI37,AI36+AI37)</f>
        <v>2.2</v>
      </c>
      <c r="AJ39" s="313" t="n">
        <f aca="false">CHOOSE($C$39,AJ35+AJ37,AJ36+AJ37)</f>
        <v>2.2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&amp;L&amp;T, &amp;D&amp;C&amp;F&amp;R&amp;P 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IW103"/>
  <sheetViews>
    <sheetView showFormulas="false" showGridLines="false" showRowColHeaders="true" showZeros="true" rightToLeft="false" tabSelected="false" showOutlineSymbols="true" defaultGridColor="true" view="pageBreakPreview" topLeftCell="A23" colorId="64" zoomScale="100" zoomScaleNormal="100" zoomScalePageLayoutView="100" workbookViewId="0">
      <selection pane="topLeft" activeCell="D33" activeCellId="0" sqref="D33"/>
    </sheetView>
  </sheetViews>
  <sheetFormatPr defaultColWidth="9.13671875" defaultRowHeight="12.75" customHeight="true" zeroHeight="false" outlineLevelRow="1" outlineLevelCol="1"/>
  <cols>
    <col collapsed="false" customWidth="true" hidden="false" outlineLevel="0" max="1" min="1" style="1" width="34.41"/>
    <col collapsed="false" customWidth="true" hidden="false" outlineLevel="0" max="2" min="2" style="1" width="11.28"/>
    <col collapsed="false" customWidth="false" hidden="false" outlineLevel="0" max="3" min="3" style="1" width="9.14"/>
    <col collapsed="false" customWidth="true" hidden="false" outlineLevel="0" max="28" min="4" style="321" width="12.42"/>
    <col collapsed="false" customWidth="true" hidden="true" outlineLevel="1" max="29" min="29" style="321" width="12.42"/>
    <col collapsed="false" customWidth="true" hidden="true" outlineLevel="1" max="34" min="30" style="1" width="12.42"/>
    <col collapsed="false" customWidth="false" hidden="false" outlineLevel="0" max="257" min="35" style="1" width="9.14"/>
  </cols>
  <sheetData>
    <row r="2" customFormat="false" ht="18.75" hidden="false" customHeight="false" outlineLevel="0" collapsed="false">
      <c r="A2" s="6" t="str">
        <f aca="false">Assumptions!B3</f>
        <v>PROJECT NAME: SANTEE COOPER</v>
      </c>
    </row>
    <row r="3" customFormat="false" ht="12.75" hidden="false" customHeight="false" outlineLevel="0" collapsed="false">
      <c r="D3" s="322"/>
    </row>
    <row r="4" customFormat="false" ht="18.75" hidden="false" customHeight="false" outlineLevel="0" collapsed="false">
      <c r="A4" s="323" t="s">
        <v>245</v>
      </c>
      <c r="B4" s="114"/>
      <c r="D4" s="324"/>
    </row>
    <row r="6" customFormat="false" ht="12.75" hidden="false" customHeight="false" outlineLevel="0" collapsed="false">
      <c r="A6" s="1" t="s">
        <v>246</v>
      </c>
      <c r="D6" s="325" t="n">
        <f aca="false">'Power Price Assumption'!F9</f>
        <v>0.668493150684932</v>
      </c>
      <c r="E6" s="325" t="n">
        <f aca="false">'Power Price Assumption'!G9</f>
        <v>1.66849315068493</v>
      </c>
      <c r="F6" s="325" t="n">
        <f aca="false">'Power Price Assumption'!H9</f>
        <v>2.66849315068493</v>
      </c>
      <c r="G6" s="325" t="n">
        <f aca="false">'Power Price Assumption'!I9</f>
        <v>3.66849315068493</v>
      </c>
      <c r="H6" s="325" t="n">
        <f aca="false">'Power Price Assumption'!J9</f>
        <v>4.66849315068493</v>
      </c>
      <c r="I6" s="325" t="n">
        <f aca="false">'Power Price Assumption'!K9</f>
        <v>5.66849315068493</v>
      </c>
      <c r="J6" s="325" t="n">
        <f aca="false">'Power Price Assumption'!L9</f>
        <v>6.66849315068493</v>
      </c>
      <c r="K6" s="325" t="n">
        <f aca="false">'Power Price Assumption'!M9</f>
        <v>7.66849315068493</v>
      </c>
      <c r="L6" s="325" t="n">
        <f aca="false">'Power Price Assumption'!N9</f>
        <v>8.66849315068493</v>
      </c>
      <c r="M6" s="325" t="n">
        <f aca="false">'Power Price Assumption'!O9</f>
        <v>9.66849315068493</v>
      </c>
      <c r="N6" s="325" t="n">
        <f aca="false">'Power Price Assumption'!P9</f>
        <v>10.6684931506849</v>
      </c>
      <c r="O6" s="325" t="n">
        <f aca="false">'Power Price Assumption'!Q9</f>
        <v>11.6684931506849</v>
      </c>
      <c r="P6" s="325" t="n">
        <f aca="false">'Power Price Assumption'!R9</f>
        <v>12.6684931506849</v>
      </c>
      <c r="Q6" s="325" t="n">
        <f aca="false">'Power Price Assumption'!S9</f>
        <v>13.6684931506849</v>
      </c>
      <c r="R6" s="325" t="n">
        <f aca="false">'Power Price Assumption'!T9</f>
        <v>14.6684931506849</v>
      </c>
      <c r="S6" s="325" t="n">
        <f aca="false">'Power Price Assumption'!U9</f>
        <v>15.6684931506849</v>
      </c>
      <c r="T6" s="325" t="n">
        <f aca="false">'Power Price Assumption'!V9</f>
        <v>16.6684931506849</v>
      </c>
      <c r="U6" s="325" t="n">
        <f aca="false">'Power Price Assumption'!W9</f>
        <v>17.6684931506849</v>
      </c>
      <c r="V6" s="325" t="n">
        <f aca="false">'Power Price Assumption'!X9</f>
        <v>18.6684931506849</v>
      </c>
      <c r="W6" s="325" t="n">
        <f aca="false">'Power Price Assumption'!Y9</f>
        <v>19.6684931506849</v>
      </c>
      <c r="X6" s="325" t="n">
        <f aca="false">'Power Price Assumption'!Z9</f>
        <v>20.6684931506849</v>
      </c>
      <c r="Y6" s="325" t="n">
        <f aca="false">'Power Price Assumption'!AA9</f>
        <v>21.6684931506849</v>
      </c>
      <c r="Z6" s="325" t="n">
        <f aca="false">'Power Price Assumption'!AB9</f>
        <v>22.6684931506849</v>
      </c>
      <c r="AA6" s="325" t="n">
        <f aca="false">'Power Price Assumption'!AC9</f>
        <v>23.6684931506849</v>
      </c>
      <c r="AB6" s="325" t="n">
        <f aca="false">'Power Price Assumption'!AD9</f>
        <v>24.6684931506849</v>
      </c>
      <c r="AC6" s="325" t="n">
        <f aca="false">'Power Price Assumption'!AE9</f>
        <v>25.6684931506849</v>
      </c>
      <c r="AD6" s="325" t="n">
        <f aca="false">'Power Price Assumption'!AF9</f>
        <v>26.6684931506849</v>
      </c>
      <c r="AE6" s="325" t="n">
        <f aca="false">'Power Price Assumption'!AG9</f>
        <v>27.6684931506849</v>
      </c>
      <c r="AF6" s="325" t="n">
        <f aca="false">'Power Price Assumption'!AH9</f>
        <v>28.6684931506849</v>
      </c>
      <c r="AG6" s="325" t="n">
        <f aca="false">'Power Price Assumption'!AI9</f>
        <v>29.6684931506849</v>
      </c>
      <c r="AH6" s="325" t="n">
        <f aca="false">'Power Price Assumption'!AJ9</f>
        <v>30.6684931506849</v>
      </c>
    </row>
    <row r="7" customFormat="false" ht="13.5" hidden="false" customHeight="false" outlineLevel="0" collapsed="false">
      <c r="A7" s="326" t="s">
        <v>247</v>
      </c>
      <c r="B7" s="327"/>
      <c r="C7" s="327"/>
      <c r="D7" s="328" t="n">
        <f aca="false">'Power Price Assumption'!F10</f>
        <v>2001</v>
      </c>
      <c r="E7" s="328" t="n">
        <f aca="false">'Power Price Assumption'!G10</f>
        <v>2002</v>
      </c>
      <c r="F7" s="328" t="n">
        <f aca="false">'Power Price Assumption'!H10</f>
        <v>2003</v>
      </c>
      <c r="G7" s="328" t="n">
        <f aca="false">'Power Price Assumption'!I10</f>
        <v>2004</v>
      </c>
      <c r="H7" s="328" t="n">
        <f aca="false">'Power Price Assumption'!J10</f>
        <v>2005</v>
      </c>
      <c r="I7" s="328" t="n">
        <f aca="false">'Power Price Assumption'!K10</f>
        <v>2006</v>
      </c>
      <c r="J7" s="328" t="n">
        <f aca="false">'Power Price Assumption'!L10</f>
        <v>2007</v>
      </c>
      <c r="K7" s="328" t="n">
        <f aca="false">'Power Price Assumption'!M10</f>
        <v>2008</v>
      </c>
      <c r="L7" s="328" t="n">
        <f aca="false">'Power Price Assumption'!N10</f>
        <v>2009</v>
      </c>
      <c r="M7" s="328" t="n">
        <f aca="false">'Power Price Assumption'!O10</f>
        <v>2010</v>
      </c>
      <c r="N7" s="328" t="n">
        <f aca="false">'Power Price Assumption'!P10</f>
        <v>2011</v>
      </c>
      <c r="O7" s="328" t="n">
        <f aca="false">'Power Price Assumption'!Q10</f>
        <v>2012</v>
      </c>
      <c r="P7" s="328" t="n">
        <f aca="false">'Power Price Assumption'!R10</f>
        <v>2013</v>
      </c>
      <c r="Q7" s="328" t="n">
        <f aca="false">'Power Price Assumption'!S10</f>
        <v>2014</v>
      </c>
      <c r="R7" s="328" t="n">
        <f aca="false">'Power Price Assumption'!T10</f>
        <v>2015</v>
      </c>
      <c r="S7" s="328" t="n">
        <f aca="false">'Power Price Assumption'!U10</f>
        <v>2016</v>
      </c>
      <c r="T7" s="328" t="n">
        <f aca="false">'Power Price Assumption'!V10</f>
        <v>2017</v>
      </c>
      <c r="U7" s="328" t="n">
        <f aca="false">'Power Price Assumption'!W10</f>
        <v>2018</v>
      </c>
      <c r="V7" s="328" t="n">
        <f aca="false">'Power Price Assumption'!X10</f>
        <v>2019</v>
      </c>
      <c r="W7" s="328" t="n">
        <f aca="false">'Power Price Assumption'!Y10</f>
        <v>2020</v>
      </c>
      <c r="X7" s="328" t="n">
        <f aca="false">'Power Price Assumption'!Z10</f>
        <v>2021</v>
      </c>
      <c r="Y7" s="328" t="n">
        <f aca="false">'Power Price Assumption'!AA10</f>
        <v>2022</v>
      </c>
      <c r="Z7" s="328" t="n">
        <f aca="false">'Power Price Assumption'!AB10</f>
        <v>2023</v>
      </c>
      <c r="AA7" s="328" t="n">
        <f aca="false">'Power Price Assumption'!AC10</f>
        <v>2024</v>
      </c>
      <c r="AB7" s="328" t="n">
        <f aca="false">'Power Price Assumption'!AD10</f>
        <v>2025</v>
      </c>
      <c r="AC7" s="328" t="n">
        <f aca="false">'Power Price Assumption'!AE10</f>
        <v>2026</v>
      </c>
      <c r="AD7" s="328" t="n">
        <f aca="false">'Power Price Assumption'!AF10</f>
        <v>2027</v>
      </c>
      <c r="AE7" s="328" t="n">
        <f aca="false">'Power Price Assumption'!AG10</f>
        <v>2028</v>
      </c>
      <c r="AF7" s="328" t="n">
        <f aca="false">'Power Price Assumption'!AH10</f>
        <v>2029</v>
      </c>
      <c r="AG7" s="328" t="n">
        <f aca="false">'Power Price Assumption'!AI10</f>
        <v>2030</v>
      </c>
      <c r="AH7" s="328" t="n">
        <f aca="false">'Power Price Assumption'!AJ10</f>
        <v>2031</v>
      </c>
      <c r="AI7" s="268"/>
      <c r="AJ7" s="268"/>
      <c r="AK7" s="268"/>
      <c r="AL7" s="268"/>
      <c r="AM7" s="268"/>
      <c r="AN7" s="268"/>
      <c r="AO7" s="268"/>
      <c r="AP7" s="268"/>
      <c r="AQ7" s="268"/>
      <c r="AR7" s="268"/>
      <c r="AS7" s="268"/>
      <c r="AT7" s="268"/>
      <c r="AU7" s="268"/>
      <c r="AV7" s="268"/>
      <c r="AW7" s="268"/>
      <c r="AX7" s="268"/>
      <c r="AY7" s="268"/>
      <c r="AZ7" s="268"/>
      <c r="BA7" s="268"/>
      <c r="BB7" s="268"/>
      <c r="BC7" s="268"/>
      <c r="BD7" s="268"/>
      <c r="BE7" s="268"/>
      <c r="BF7" s="268"/>
      <c r="BG7" s="268"/>
      <c r="BH7" s="268"/>
      <c r="BI7" s="268"/>
      <c r="BJ7" s="268"/>
      <c r="BK7" s="268"/>
      <c r="BL7" s="268"/>
      <c r="BM7" s="268"/>
      <c r="BN7" s="268"/>
      <c r="BO7" s="268"/>
      <c r="BP7" s="268"/>
      <c r="BQ7" s="268"/>
      <c r="BR7" s="268"/>
      <c r="BS7" s="268"/>
      <c r="BT7" s="268"/>
      <c r="BU7" s="268"/>
      <c r="BV7" s="268"/>
      <c r="BW7" s="268"/>
      <c r="BX7" s="268"/>
      <c r="BY7" s="268"/>
      <c r="BZ7" s="268"/>
      <c r="CA7" s="268"/>
      <c r="CB7" s="268"/>
      <c r="CC7" s="268"/>
      <c r="CD7" s="268"/>
      <c r="CE7" s="268"/>
      <c r="CF7" s="268"/>
      <c r="CG7" s="268"/>
      <c r="CH7" s="268"/>
      <c r="CI7" s="268"/>
      <c r="CJ7" s="268"/>
      <c r="CK7" s="268"/>
      <c r="CL7" s="268"/>
      <c r="CM7" s="268"/>
      <c r="CN7" s="268"/>
      <c r="CO7" s="268"/>
      <c r="CP7" s="268"/>
      <c r="CQ7" s="268"/>
      <c r="CR7" s="268"/>
      <c r="CS7" s="268"/>
      <c r="CT7" s="268"/>
      <c r="CU7" s="268"/>
      <c r="CV7" s="268"/>
      <c r="CW7" s="268"/>
      <c r="CX7" s="268"/>
      <c r="CY7" s="268"/>
      <c r="CZ7" s="268"/>
      <c r="DA7" s="268"/>
      <c r="DB7" s="268"/>
      <c r="DC7" s="268"/>
      <c r="DD7" s="268"/>
      <c r="DE7" s="268"/>
      <c r="DF7" s="268"/>
      <c r="DG7" s="268"/>
      <c r="DH7" s="268"/>
      <c r="DI7" s="268"/>
      <c r="DJ7" s="268"/>
      <c r="DK7" s="268"/>
      <c r="DL7" s="268"/>
      <c r="DM7" s="268"/>
      <c r="DN7" s="268"/>
      <c r="DO7" s="268"/>
      <c r="DP7" s="268"/>
      <c r="DQ7" s="268"/>
      <c r="DR7" s="268"/>
      <c r="DS7" s="268"/>
      <c r="DT7" s="268"/>
      <c r="DU7" s="268"/>
      <c r="DV7" s="268"/>
      <c r="DW7" s="268"/>
      <c r="DX7" s="268"/>
      <c r="DY7" s="268"/>
      <c r="DZ7" s="268"/>
      <c r="EA7" s="268"/>
      <c r="EB7" s="268"/>
      <c r="EC7" s="268"/>
      <c r="ED7" s="268"/>
      <c r="EE7" s="268"/>
      <c r="EF7" s="268"/>
      <c r="EG7" s="268"/>
      <c r="EH7" s="268"/>
      <c r="EI7" s="268"/>
      <c r="EJ7" s="268"/>
      <c r="EK7" s="268"/>
      <c r="EL7" s="268"/>
      <c r="EM7" s="268"/>
      <c r="EN7" s="268"/>
      <c r="EO7" s="268"/>
      <c r="EP7" s="268"/>
      <c r="EQ7" s="268"/>
      <c r="ER7" s="268"/>
      <c r="ES7" s="268"/>
      <c r="ET7" s="268"/>
      <c r="EU7" s="268"/>
      <c r="EV7" s="268"/>
      <c r="EW7" s="268"/>
      <c r="EX7" s="268"/>
      <c r="EY7" s="268"/>
      <c r="EZ7" s="268"/>
      <c r="FA7" s="268"/>
      <c r="FB7" s="268"/>
      <c r="FC7" s="268"/>
      <c r="FD7" s="268"/>
      <c r="FE7" s="268"/>
      <c r="FF7" s="268"/>
      <c r="FG7" s="268"/>
      <c r="FH7" s="268"/>
      <c r="FI7" s="268"/>
      <c r="FJ7" s="268"/>
      <c r="FK7" s="268"/>
      <c r="FL7" s="268"/>
      <c r="FM7" s="268"/>
      <c r="FN7" s="268"/>
      <c r="FO7" s="268"/>
      <c r="FP7" s="268"/>
      <c r="FQ7" s="268"/>
      <c r="FR7" s="268"/>
      <c r="FS7" s="268"/>
      <c r="FT7" s="268"/>
      <c r="FU7" s="268"/>
      <c r="FV7" s="268"/>
      <c r="FW7" s="268"/>
      <c r="FX7" s="268"/>
      <c r="FY7" s="268"/>
      <c r="FZ7" s="268"/>
      <c r="GA7" s="268"/>
      <c r="GB7" s="268"/>
      <c r="GC7" s="268"/>
      <c r="GD7" s="268"/>
      <c r="GE7" s="268"/>
      <c r="GF7" s="268"/>
      <c r="GG7" s="268"/>
      <c r="GH7" s="268"/>
      <c r="GI7" s="268"/>
      <c r="GJ7" s="268"/>
      <c r="GK7" s="268"/>
      <c r="GL7" s="268"/>
      <c r="GM7" s="268"/>
      <c r="GN7" s="268"/>
      <c r="GO7" s="268"/>
      <c r="GP7" s="268"/>
      <c r="GQ7" s="268"/>
      <c r="GR7" s="268"/>
      <c r="GS7" s="268"/>
      <c r="GT7" s="268"/>
      <c r="GU7" s="268"/>
      <c r="GV7" s="268"/>
      <c r="GW7" s="268"/>
      <c r="GX7" s="268"/>
      <c r="GY7" s="268"/>
      <c r="GZ7" s="268"/>
      <c r="HA7" s="268"/>
      <c r="HB7" s="268"/>
      <c r="HC7" s="268"/>
      <c r="HD7" s="268"/>
      <c r="HE7" s="268"/>
      <c r="HF7" s="268"/>
      <c r="HG7" s="268"/>
      <c r="HH7" s="268"/>
      <c r="HI7" s="268"/>
      <c r="HJ7" s="268"/>
      <c r="HK7" s="268"/>
      <c r="HL7" s="268"/>
      <c r="HM7" s="268"/>
      <c r="HN7" s="268"/>
      <c r="HO7" s="268"/>
      <c r="HP7" s="268"/>
      <c r="HQ7" s="268"/>
      <c r="HR7" s="268"/>
      <c r="HS7" s="268"/>
      <c r="HT7" s="268"/>
      <c r="HU7" s="268"/>
      <c r="HV7" s="268"/>
      <c r="HW7" s="268"/>
      <c r="HX7" s="268"/>
      <c r="HY7" s="268"/>
      <c r="HZ7" s="268"/>
      <c r="IA7" s="268"/>
      <c r="IB7" s="268"/>
      <c r="IC7" s="268"/>
      <c r="ID7" s="268"/>
      <c r="IE7" s="268"/>
      <c r="IF7" s="268"/>
      <c r="IG7" s="268"/>
      <c r="IH7" s="268"/>
      <c r="II7" s="268"/>
      <c r="IJ7" s="268"/>
      <c r="IK7" s="268"/>
      <c r="IL7" s="268"/>
      <c r="IM7" s="268"/>
      <c r="IN7" s="268"/>
      <c r="IO7" s="268"/>
      <c r="IP7" s="268"/>
      <c r="IQ7" s="268"/>
      <c r="IR7" s="268"/>
      <c r="IS7" s="268"/>
      <c r="IT7" s="268"/>
      <c r="IU7" s="268"/>
      <c r="IV7" s="268"/>
      <c r="IW7" s="268"/>
    </row>
    <row r="8" customFormat="false" ht="12.75" hidden="false" customHeight="false" outlineLevel="0" collapsed="false">
      <c r="A8" s="329"/>
      <c r="D8" s="330" t="n">
        <f aca="false">Assumptions!J16</f>
        <v>37256</v>
      </c>
      <c r="E8" s="330" t="n">
        <f aca="false">D8+365.25</f>
        <v>37621.25</v>
      </c>
      <c r="F8" s="330" t="n">
        <f aca="false">E8+365.25</f>
        <v>37986.5</v>
      </c>
      <c r="G8" s="330" t="n">
        <f aca="false">F8+365.25</f>
        <v>38351.75</v>
      </c>
      <c r="H8" s="330" t="n">
        <f aca="false">G8+365.25</f>
        <v>38717</v>
      </c>
      <c r="I8" s="330" t="n">
        <f aca="false">H8+365.25</f>
        <v>39082.25</v>
      </c>
      <c r="J8" s="330" t="n">
        <f aca="false">I8+365.25</f>
        <v>39447.5</v>
      </c>
      <c r="K8" s="330" t="n">
        <f aca="false">J8+365.25</f>
        <v>39812.75</v>
      </c>
      <c r="L8" s="330" t="n">
        <f aca="false">K8+365.25</f>
        <v>40178</v>
      </c>
      <c r="M8" s="330" t="n">
        <f aca="false">L8+365.25</f>
        <v>40543.25</v>
      </c>
      <c r="N8" s="330" t="n">
        <f aca="false">M8+365.25</f>
        <v>40908.5</v>
      </c>
      <c r="O8" s="330" t="n">
        <f aca="false">N8+365.25</f>
        <v>41273.75</v>
      </c>
      <c r="P8" s="330" t="n">
        <f aca="false">O8+365.25</f>
        <v>41639</v>
      </c>
      <c r="Q8" s="330" t="n">
        <f aca="false">P8+365.25</f>
        <v>42004.25</v>
      </c>
      <c r="R8" s="330" t="n">
        <f aca="false">Q8+365.25</f>
        <v>42369.5</v>
      </c>
      <c r="S8" s="330" t="n">
        <f aca="false">R8+365.25</f>
        <v>42734.75</v>
      </c>
      <c r="T8" s="330" t="n">
        <f aca="false">S8+365.25</f>
        <v>43100</v>
      </c>
      <c r="U8" s="330" t="n">
        <f aca="false">T8+365.25</f>
        <v>43465.25</v>
      </c>
      <c r="V8" s="330" t="n">
        <f aca="false">U8+365.25</f>
        <v>43830.5</v>
      </c>
      <c r="W8" s="330" t="n">
        <f aca="false">V8+365.25</f>
        <v>44195.75</v>
      </c>
      <c r="X8" s="330" t="n">
        <f aca="false">W8+365.25</f>
        <v>44561</v>
      </c>
      <c r="Y8" s="330" t="n">
        <f aca="false">X8+365.25</f>
        <v>44926.25</v>
      </c>
      <c r="Z8" s="330" t="n">
        <f aca="false">Y8+365.25</f>
        <v>45291.5</v>
      </c>
      <c r="AA8" s="330" t="n">
        <f aca="false">Z8+365.25</f>
        <v>45656.75</v>
      </c>
      <c r="AB8" s="330" t="n">
        <f aca="false">AA8+365.25</f>
        <v>46022</v>
      </c>
      <c r="AC8" s="330" t="n">
        <f aca="false">AB8+365.25</f>
        <v>46387.25</v>
      </c>
      <c r="AD8" s="330" t="n">
        <f aca="false">AC8+365.25</f>
        <v>46752.5</v>
      </c>
      <c r="AE8" s="330" t="n">
        <f aca="false">AD8+365.25</f>
        <v>47117.75</v>
      </c>
      <c r="AF8" s="330" t="n">
        <f aca="false">AE8+365.25</f>
        <v>47483</v>
      </c>
      <c r="AG8" s="330" t="n">
        <f aca="false">AF8+365.25</f>
        <v>47848.25</v>
      </c>
      <c r="AH8" s="330" t="n">
        <f aca="false">AG8+365.25</f>
        <v>48213.5</v>
      </c>
    </row>
    <row r="9" customFormat="false" ht="12.75" hidden="false" customHeight="false" outlineLevel="0" collapsed="false">
      <c r="A9" s="329" t="s">
        <v>248</v>
      </c>
      <c r="D9" s="330"/>
      <c r="E9" s="330"/>
      <c r="F9" s="330"/>
      <c r="G9" s="330"/>
      <c r="H9" s="330"/>
      <c r="I9" s="330"/>
      <c r="J9" s="330"/>
      <c r="K9" s="330"/>
      <c r="L9" s="330"/>
      <c r="M9" s="330"/>
      <c r="N9" s="330"/>
      <c r="O9" s="330"/>
      <c r="P9" s="330"/>
      <c r="Q9" s="330"/>
      <c r="R9" s="330"/>
      <c r="S9" s="330"/>
      <c r="T9" s="330"/>
      <c r="U9" s="330"/>
      <c r="V9" s="330"/>
      <c r="W9" s="330"/>
      <c r="X9" s="330"/>
      <c r="Y9" s="330"/>
      <c r="Z9" s="330"/>
      <c r="AA9" s="330"/>
      <c r="AB9" s="330"/>
      <c r="AC9" s="330"/>
      <c r="AD9" s="330"/>
      <c r="AE9" s="330"/>
      <c r="AF9" s="330"/>
      <c r="AG9" s="330"/>
      <c r="AH9" s="330"/>
    </row>
    <row r="10" customFormat="false" ht="12.75" hidden="false" customHeight="false" outlineLevel="0" collapsed="false">
      <c r="A10" s="331" t="s">
        <v>249</v>
      </c>
      <c r="D10" s="332" t="n">
        <v>8</v>
      </c>
      <c r="E10" s="332" t="n">
        <v>12</v>
      </c>
      <c r="F10" s="332" t="n">
        <v>12</v>
      </c>
      <c r="G10" s="332" t="n">
        <v>12</v>
      </c>
      <c r="H10" s="332" t="n">
        <v>12</v>
      </c>
      <c r="I10" s="332" t="n">
        <v>12</v>
      </c>
      <c r="J10" s="332" t="n">
        <v>12</v>
      </c>
      <c r="K10" s="332" t="n">
        <v>12</v>
      </c>
      <c r="L10" s="332" t="n">
        <v>12</v>
      </c>
      <c r="M10" s="332" t="n">
        <v>12</v>
      </c>
      <c r="N10" s="332" t="n">
        <v>12</v>
      </c>
      <c r="O10" s="332" t="n">
        <v>12</v>
      </c>
      <c r="P10" s="332" t="n">
        <v>12</v>
      </c>
      <c r="Q10" s="332" t="n">
        <v>12</v>
      </c>
      <c r="R10" s="332" t="n">
        <v>12</v>
      </c>
      <c r="S10" s="332" t="n">
        <v>12</v>
      </c>
      <c r="T10" s="332" t="n">
        <v>12</v>
      </c>
      <c r="U10" s="332" t="n">
        <v>12</v>
      </c>
      <c r="V10" s="332" t="n">
        <v>12</v>
      </c>
      <c r="W10" s="332" t="n">
        <v>12</v>
      </c>
      <c r="X10" s="332" t="n">
        <v>12</v>
      </c>
      <c r="Y10" s="332" t="n">
        <v>12</v>
      </c>
      <c r="Z10" s="332" t="n">
        <v>12</v>
      </c>
      <c r="AA10" s="332" t="n">
        <v>12</v>
      </c>
      <c r="AB10" s="332" t="n">
        <v>12</v>
      </c>
      <c r="AC10" s="332" t="n">
        <v>0</v>
      </c>
      <c r="AD10" s="332" t="n">
        <v>0</v>
      </c>
      <c r="AE10" s="332" t="n">
        <v>0</v>
      </c>
      <c r="AF10" s="332" t="n">
        <v>0</v>
      </c>
      <c r="AG10" s="332" t="n">
        <v>0</v>
      </c>
      <c r="AH10" s="332" t="n">
        <v>0</v>
      </c>
    </row>
    <row r="11" customFormat="false" ht="12.75" hidden="false" customHeight="false" outlineLevel="0" collapsed="false">
      <c r="A11" s="331" t="s">
        <v>250</v>
      </c>
      <c r="D11" s="333" t="n">
        <f aca="false">D10/12</f>
        <v>0.666666666666667</v>
      </c>
      <c r="E11" s="333" t="n">
        <f aca="false">E10/12</f>
        <v>1</v>
      </c>
      <c r="F11" s="333" t="n">
        <f aca="false">F10/12</f>
        <v>1</v>
      </c>
      <c r="G11" s="333" t="n">
        <f aca="false">G10/12</f>
        <v>1</v>
      </c>
      <c r="H11" s="333" t="n">
        <f aca="false">H10/12</f>
        <v>1</v>
      </c>
      <c r="I11" s="333" t="n">
        <f aca="false">I10/12</f>
        <v>1</v>
      </c>
      <c r="J11" s="333" t="n">
        <f aca="false">J10/12</f>
        <v>1</v>
      </c>
      <c r="K11" s="333" t="n">
        <f aca="false">K10/12</f>
        <v>1</v>
      </c>
      <c r="L11" s="333" t="n">
        <f aca="false">L10/12</f>
        <v>1</v>
      </c>
      <c r="M11" s="333" t="n">
        <f aca="false">M10/12</f>
        <v>1</v>
      </c>
      <c r="N11" s="333" t="n">
        <f aca="false">N10/12</f>
        <v>1</v>
      </c>
      <c r="O11" s="333" t="n">
        <f aca="false">O10/12</f>
        <v>1</v>
      </c>
      <c r="P11" s="333" t="n">
        <f aca="false">P10/12</f>
        <v>1</v>
      </c>
      <c r="Q11" s="333" t="n">
        <f aca="false">Q10/12</f>
        <v>1</v>
      </c>
      <c r="R11" s="333" t="n">
        <f aca="false">R10/12</f>
        <v>1</v>
      </c>
      <c r="S11" s="333" t="n">
        <f aca="false">S10/12</f>
        <v>1</v>
      </c>
      <c r="T11" s="333" t="n">
        <f aca="false">T10/12</f>
        <v>1</v>
      </c>
      <c r="U11" s="333" t="n">
        <f aca="false">U10/12</f>
        <v>1</v>
      </c>
      <c r="V11" s="333" t="n">
        <f aca="false">V10/12</f>
        <v>1</v>
      </c>
      <c r="W11" s="333" t="n">
        <f aca="false">W10/12</f>
        <v>1</v>
      </c>
      <c r="X11" s="333" t="n">
        <f aca="false">X10/12</f>
        <v>1</v>
      </c>
      <c r="Y11" s="333" t="n">
        <f aca="false">Y10/12</f>
        <v>1</v>
      </c>
      <c r="Z11" s="333" t="n">
        <f aca="false">Z10/12</f>
        <v>1</v>
      </c>
      <c r="AA11" s="333" t="n">
        <f aca="false">AA10/12</f>
        <v>1</v>
      </c>
      <c r="AB11" s="333" t="n">
        <f aca="false">AB10/12</f>
        <v>1</v>
      </c>
      <c r="AC11" s="333" t="n">
        <f aca="false">AC10/12</f>
        <v>0</v>
      </c>
      <c r="AD11" s="333" t="n">
        <f aca="false">AD10/12</f>
        <v>0</v>
      </c>
      <c r="AE11" s="333" t="n">
        <f aca="false">AE10/12</f>
        <v>0</v>
      </c>
      <c r="AF11" s="333" t="n">
        <f aca="false">AF10/12</f>
        <v>0</v>
      </c>
      <c r="AG11" s="333" t="n">
        <f aca="false">AG10/12</f>
        <v>0</v>
      </c>
      <c r="AH11" s="333" t="n">
        <f aca="false">AH10/12</f>
        <v>0</v>
      </c>
    </row>
    <row r="12" customFormat="false" ht="12.75" hidden="false" customHeight="false" outlineLevel="0" collapsed="false">
      <c r="A12" s="331"/>
      <c r="D12" s="333"/>
      <c r="E12" s="333"/>
      <c r="F12" s="333"/>
      <c r="G12" s="333"/>
      <c r="H12" s="333"/>
      <c r="I12" s="333"/>
      <c r="J12" s="333"/>
      <c r="K12" s="333"/>
      <c r="L12" s="333"/>
      <c r="M12" s="333"/>
      <c r="N12" s="333"/>
      <c r="O12" s="333"/>
      <c r="P12" s="333"/>
      <c r="Q12" s="333"/>
      <c r="R12" s="333"/>
      <c r="S12" s="333"/>
      <c r="T12" s="333"/>
      <c r="U12" s="333"/>
      <c r="V12" s="333"/>
      <c r="W12" s="333"/>
      <c r="X12" s="333"/>
      <c r="Y12" s="333"/>
      <c r="Z12" s="333"/>
      <c r="AA12" s="333"/>
      <c r="AB12" s="333"/>
      <c r="AC12" s="333"/>
      <c r="AD12" s="333"/>
      <c r="AE12" s="333"/>
      <c r="AF12" s="333"/>
      <c r="AG12" s="333"/>
      <c r="AH12" s="333"/>
    </row>
    <row r="13" customFormat="false" ht="12.75" hidden="false" customHeight="false" outlineLevel="0" collapsed="false">
      <c r="A13" s="331" t="s">
        <v>251</v>
      </c>
      <c r="D13" s="334" t="n">
        <v>1400</v>
      </c>
      <c r="E13" s="334" t="n">
        <f aca="false">Assumptions!$J$14*IS!E11</f>
        <v>1400</v>
      </c>
      <c r="F13" s="334" t="n">
        <f aca="false">Assumptions!$J$14*IS!F11</f>
        <v>1400</v>
      </c>
      <c r="G13" s="334" t="n">
        <f aca="false">Assumptions!$J$14*IS!G11</f>
        <v>1400</v>
      </c>
      <c r="H13" s="334" t="n">
        <f aca="false">Assumptions!$J$14*IS!H11</f>
        <v>1400</v>
      </c>
      <c r="I13" s="334" t="n">
        <f aca="false">Assumptions!$J$14*IS!I11</f>
        <v>1400</v>
      </c>
      <c r="J13" s="334" t="n">
        <f aca="false">Assumptions!$J$14*IS!J11</f>
        <v>1400</v>
      </c>
      <c r="K13" s="334" t="n">
        <f aca="false">Assumptions!$J$14*IS!K11</f>
        <v>1400</v>
      </c>
      <c r="L13" s="334" t="n">
        <f aca="false">Assumptions!$J$14*IS!L11</f>
        <v>1400</v>
      </c>
      <c r="M13" s="334" t="n">
        <f aca="false">Assumptions!$J$14*IS!M11</f>
        <v>1400</v>
      </c>
      <c r="N13" s="334" t="n">
        <f aca="false">Assumptions!$J$14*IS!N11</f>
        <v>1400</v>
      </c>
      <c r="O13" s="334" t="n">
        <f aca="false">Assumptions!$J$14*IS!O11</f>
        <v>1400</v>
      </c>
      <c r="P13" s="334" t="n">
        <f aca="false">Assumptions!$J$14*IS!P11</f>
        <v>1400</v>
      </c>
      <c r="Q13" s="334" t="n">
        <f aca="false">Assumptions!$J$14*IS!Q11</f>
        <v>1400</v>
      </c>
      <c r="R13" s="334" t="n">
        <f aca="false">Assumptions!$J$14*IS!R11</f>
        <v>1400</v>
      </c>
      <c r="S13" s="334" t="n">
        <f aca="false">Assumptions!$J$14*IS!S11</f>
        <v>1400</v>
      </c>
      <c r="T13" s="334" t="n">
        <f aca="false">Assumptions!$J$14*IS!T11</f>
        <v>1400</v>
      </c>
      <c r="U13" s="334" t="n">
        <f aca="false">Assumptions!$J$14*IS!U11</f>
        <v>1400</v>
      </c>
      <c r="V13" s="334" t="n">
        <f aca="false">Assumptions!$J$14*IS!V11</f>
        <v>1400</v>
      </c>
      <c r="W13" s="334" t="n">
        <f aca="false">Assumptions!$J$14*IS!W11</f>
        <v>1400</v>
      </c>
      <c r="X13" s="334" t="n">
        <f aca="false">Assumptions!$J$14*IS!X11</f>
        <v>1400</v>
      </c>
      <c r="Y13" s="334" t="n">
        <f aca="false">Assumptions!$J$14*IS!Y11</f>
        <v>1400</v>
      </c>
      <c r="Z13" s="334" t="n">
        <f aca="false">Assumptions!$J$14*IS!Z11</f>
        <v>1400</v>
      </c>
      <c r="AA13" s="334" t="n">
        <f aca="false">Assumptions!$J$14*IS!AA11</f>
        <v>1400</v>
      </c>
      <c r="AB13" s="334" t="n">
        <f aca="false">Assumptions!$J$14*IS!AB11</f>
        <v>1400</v>
      </c>
      <c r="AC13" s="333"/>
      <c r="AD13" s="333"/>
      <c r="AE13" s="333"/>
      <c r="AF13" s="333"/>
      <c r="AG13" s="333"/>
      <c r="AH13" s="333"/>
    </row>
    <row r="14" customFormat="false" ht="12.75" hidden="false" customHeight="false" outlineLevel="0" collapsed="false">
      <c r="A14" s="1" t="s">
        <v>252</v>
      </c>
      <c r="D14" s="334" t="n">
        <f aca="false">D13</f>
        <v>1400</v>
      </c>
      <c r="E14" s="334" t="n">
        <f aca="false">D14+E13</f>
        <v>2800</v>
      </c>
      <c r="F14" s="334" t="n">
        <f aca="false">E14+F13</f>
        <v>4200</v>
      </c>
      <c r="G14" s="334" t="n">
        <f aca="false">F14+G13</f>
        <v>5600</v>
      </c>
      <c r="H14" s="334" t="n">
        <f aca="false">G14+H13</f>
        <v>7000</v>
      </c>
      <c r="I14" s="334" t="n">
        <f aca="false">H14+I13</f>
        <v>8400</v>
      </c>
      <c r="J14" s="334" t="n">
        <f aca="false">I14+J13</f>
        <v>9800</v>
      </c>
      <c r="K14" s="334" t="n">
        <f aca="false">J14+K13</f>
        <v>11200</v>
      </c>
      <c r="L14" s="334" t="n">
        <f aca="false">K14+L13</f>
        <v>12600</v>
      </c>
      <c r="M14" s="334" t="n">
        <f aca="false">L14+M13</f>
        <v>14000</v>
      </c>
      <c r="N14" s="334" t="n">
        <f aca="false">M14+N13</f>
        <v>15400</v>
      </c>
      <c r="O14" s="334" t="n">
        <f aca="false">N14+O13</f>
        <v>16800</v>
      </c>
      <c r="P14" s="334" t="n">
        <f aca="false">O14+P13</f>
        <v>18200</v>
      </c>
      <c r="Q14" s="334" t="n">
        <f aca="false">P14+Q13</f>
        <v>19600</v>
      </c>
      <c r="R14" s="334" t="n">
        <f aca="false">Q14+R13</f>
        <v>21000</v>
      </c>
      <c r="S14" s="334" t="n">
        <f aca="false">R14+S13</f>
        <v>22400</v>
      </c>
      <c r="T14" s="334" t="n">
        <f aca="false">S14+T13</f>
        <v>23800</v>
      </c>
      <c r="U14" s="334" t="n">
        <f aca="false">T14+U13</f>
        <v>25200</v>
      </c>
      <c r="V14" s="334" t="n">
        <f aca="false">U14+V13</f>
        <v>26600</v>
      </c>
      <c r="W14" s="334" t="n">
        <f aca="false">V14+W13</f>
        <v>28000</v>
      </c>
      <c r="X14" s="334" t="n">
        <f aca="false">W14+X13</f>
        <v>29400</v>
      </c>
      <c r="Y14" s="334" t="n">
        <f aca="false">X14+Y13</f>
        <v>30800</v>
      </c>
      <c r="Z14" s="334" t="n">
        <f aca="false">Y14+Z13</f>
        <v>32200</v>
      </c>
      <c r="AA14" s="334" t="n">
        <f aca="false">Z14+AA13</f>
        <v>33600</v>
      </c>
      <c r="AB14" s="334" t="n">
        <f aca="false">AA14+AB13</f>
        <v>35000</v>
      </c>
      <c r="AC14" s="333"/>
      <c r="AD14" s="333"/>
      <c r="AE14" s="333"/>
      <c r="AF14" s="333"/>
      <c r="AG14" s="333"/>
      <c r="AH14" s="333"/>
    </row>
    <row r="15" customFormat="false" ht="12.75" hidden="false" customHeight="false" outlineLevel="0" collapsed="false">
      <c r="D15" s="334"/>
      <c r="E15" s="334"/>
      <c r="F15" s="334"/>
      <c r="G15" s="334"/>
      <c r="H15" s="334"/>
      <c r="I15" s="334"/>
      <c r="J15" s="334"/>
      <c r="K15" s="334"/>
      <c r="L15" s="334"/>
      <c r="M15" s="334"/>
      <c r="N15" s="334"/>
      <c r="O15" s="334"/>
      <c r="P15" s="334"/>
      <c r="Q15" s="334"/>
      <c r="R15" s="334"/>
      <c r="S15" s="334"/>
      <c r="T15" s="334"/>
      <c r="U15" s="334"/>
      <c r="V15" s="334"/>
      <c r="W15" s="334"/>
      <c r="X15" s="334"/>
      <c r="Y15" s="334"/>
      <c r="Z15" s="334"/>
      <c r="AA15" s="334"/>
      <c r="AB15" s="334"/>
      <c r="AC15" s="333"/>
      <c r="AD15" s="333"/>
      <c r="AE15" s="333"/>
      <c r="AF15" s="333"/>
      <c r="AG15" s="333"/>
      <c r="AH15" s="333"/>
    </row>
    <row r="16" customFormat="false" ht="12.75" hidden="false" customHeight="false" outlineLevel="0" collapsed="false">
      <c r="D16" s="335"/>
      <c r="E16" s="335"/>
      <c r="F16" s="335"/>
      <c r="G16" s="335"/>
      <c r="H16" s="335"/>
      <c r="I16" s="335"/>
      <c r="J16" s="335"/>
      <c r="K16" s="333"/>
      <c r="L16" s="333"/>
      <c r="M16" s="333"/>
      <c r="N16" s="333"/>
      <c r="O16" s="333"/>
      <c r="P16" s="333"/>
      <c r="Q16" s="333"/>
      <c r="R16" s="333"/>
      <c r="S16" s="333"/>
      <c r="T16" s="333"/>
      <c r="U16" s="333"/>
      <c r="V16" s="333"/>
      <c r="W16" s="333"/>
      <c r="X16" s="333"/>
      <c r="Y16" s="333"/>
      <c r="Z16" s="333"/>
      <c r="AA16" s="333"/>
      <c r="AB16" s="333"/>
      <c r="AC16" s="333"/>
      <c r="AD16" s="333"/>
      <c r="AE16" s="333"/>
      <c r="AF16" s="333"/>
      <c r="AG16" s="333"/>
      <c r="AH16" s="333"/>
    </row>
    <row r="17" customFormat="false" ht="12.75" hidden="false" customHeight="false" outlineLevel="1" collapsed="false">
      <c r="A17" s="331" t="s">
        <v>253</v>
      </c>
      <c r="D17" s="336" t="n">
        <f aca="false">Assumptions!J17</f>
        <v>8.02191780821918</v>
      </c>
      <c r="E17" s="337" t="n">
        <v>12</v>
      </c>
      <c r="F17" s="338" t="n">
        <v>12</v>
      </c>
      <c r="G17" s="332" t="n">
        <v>0</v>
      </c>
      <c r="H17" s="332" t="n">
        <v>0</v>
      </c>
      <c r="I17" s="332" t="n">
        <v>0</v>
      </c>
      <c r="J17" s="332" t="n">
        <v>0</v>
      </c>
      <c r="K17" s="332" t="n">
        <v>0</v>
      </c>
      <c r="L17" s="332" t="n">
        <v>0</v>
      </c>
      <c r="M17" s="332" t="n">
        <v>0</v>
      </c>
      <c r="N17" s="332" t="n">
        <v>0</v>
      </c>
      <c r="O17" s="332" t="n">
        <v>0</v>
      </c>
      <c r="P17" s="332" t="n">
        <v>0</v>
      </c>
      <c r="Q17" s="332" t="n">
        <v>0</v>
      </c>
      <c r="R17" s="332" t="n">
        <v>0</v>
      </c>
      <c r="S17" s="332" t="n">
        <v>0</v>
      </c>
      <c r="T17" s="332" t="n">
        <v>0</v>
      </c>
      <c r="U17" s="332" t="n">
        <v>0</v>
      </c>
      <c r="V17" s="332" t="n">
        <v>0</v>
      </c>
      <c r="W17" s="332" t="n">
        <v>0</v>
      </c>
      <c r="X17" s="332" t="n">
        <v>0</v>
      </c>
      <c r="Y17" s="332" t="n">
        <v>0</v>
      </c>
      <c r="Z17" s="332" t="n">
        <v>0</v>
      </c>
      <c r="AA17" s="332" t="n">
        <v>0</v>
      </c>
      <c r="AB17" s="332" t="n">
        <v>0</v>
      </c>
      <c r="AC17" s="332" t="n">
        <v>0</v>
      </c>
      <c r="AD17" s="332" t="n">
        <v>0</v>
      </c>
      <c r="AE17" s="332" t="n">
        <v>0</v>
      </c>
      <c r="AF17" s="332" t="n">
        <v>0</v>
      </c>
      <c r="AG17" s="332" t="n">
        <v>0</v>
      </c>
      <c r="AH17" s="332" t="n">
        <v>0</v>
      </c>
    </row>
    <row r="18" customFormat="false" ht="12.75" hidden="false" customHeight="false" outlineLevel="1" collapsed="false">
      <c r="A18" s="331" t="s">
        <v>254</v>
      </c>
      <c r="D18" s="333" t="n">
        <f aca="false">D17/12</f>
        <v>0.668493150684932</v>
      </c>
      <c r="E18" s="333" t="n">
        <f aca="false">E17/12</f>
        <v>1</v>
      </c>
      <c r="F18" s="333" t="n">
        <f aca="false">F17/12</f>
        <v>1</v>
      </c>
      <c r="G18" s="333" t="n">
        <f aca="false">G17/12</f>
        <v>0</v>
      </c>
      <c r="H18" s="333" t="n">
        <f aca="false">H17/12</f>
        <v>0</v>
      </c>
      <c r="I18" s="333" t="n">
        <f aca="false">I17/12</f>
        <v>0</v>
      </c>
      <c r="J18" s="333" t="n">
        <f aca="false">J17/12</f>
        <v>0</v>
      </c>
      <c r="K18" s="333" t="n">
        <f aca="false">K17/12</f>
        <v>0</v>
      </c>
      <c r="L18" s="333" t="n">
        <f aca="false">L17/12</f>
        <v>0</v>
      </c>
      <c r="M18" s="333" t="n">
        <f aca="false">M17/12</f>
        <v>0</v>
      </c>
      <c r="N18" s="333" t="n">
        <f aca="false">N17/12</f>
        <v>0</v>
      </c>
      <c r="O18" s="333" t="n">
        <f aca="false">O17/12</f>
        <v>0</v>
      </c>
      <c r="P18" s="333" t="n">
        <f aca="false">P17/12</f>
        <v>0</v>
      </c>
      <c r="Q18" s="333" t="n">
        <f aca="false">Q17/12</f>
        <v>0</v>
      </c>
      <c r="R18" s="333" t="n">
        <f aca="false">R17/12</f>
        <v>0</v>
      </c>
      <c r="S18" s="333" t="n">
        <f aca="false">S17/12</f>
        <v>0</v>
      </c>
      <c r="T18" s="333" t="n">
        <f aca="false">T17/12</f>
        <v>0</v>
      </c>
      <c r="U18" s="333" t="n">
        <f aca="false">U17/12</f>
        <v>0</v>
      </c>
      <c r="V18" s="333" t="n">
        <f aca="false">V17/12</f>
        <v>0</v>
      </c>
      <c r="W18" s="333" t="n">
        <f aca="false">W17/12</f>
        <v>0</v>
      </c>
      <c r="X18" s="333" t="n">
        <f aca="false">X17/12</f>
        <v>0</v>
      </c>
      <c r="Y18" s="333" t="n">
        <f aca="false">Y17/12</f>
        <v>0</v>
      </c>
      <c r="Z18" s="333" t="n">
        <f aca="false">Z17/12</f>
        <v>0</v>
      </c>
      <c r="AA18" s="333" t="n">
        <f aca="false">AA17/12</f>
        <v>0</v>
      </c>
      <c r="AB18" s="333" t="n">
        <f aca="false">AB17/12</f>
        <v>0</v>
      </c>
      <c r="AC18" s="333" t="n">
        <f aca="false">AC17/12</f>
        <v>0</v>
      </c>
      <c r="AD18" s="333" t="n">
        <f aca="false">AD17/12</f>
        <v>0</v>
      </c>
      <c r="AE18" s="333" t="n">
        <f aca="false">AE17/12</f>
        <v>0</v>
      </c>
      <c r="AF18" s="333" t="n">
        <f aca="false">AF17/12</f>
        <v>0</v>
      </c>
      <c r="AG18" s="333" t="n">
        <f aca="false">AG17/12</f>
        <v>0</v>
      </c>
      <c r="AH18" s="333" t="n">
        <f aca="false">AH17/12</f>
        <v>0</v>
      </c>
    </row>
    <row r="19" customFormat="false" ht="12.75" hidden="false" customHeight="false" outlineLevel="1" collapsed="false">
      <c r="A19" s="1" t="s">
        <v>255</v>
      </c>
      <c r="D19" s="339" t="n">
        <f aca="false">D18/1</f>
        <v>0.668493150684932</v>
      </c>
      <c r="E19" s="340" t="n">
        <f aca="false">IF(SUM($D$17:E17)/12&gt;=Assumptions!$J$51,IF(IS!D19=Assumptions!$J$51,"DONE",IF(IS!D19="DONE","DONE",D19+E18)),(D19+E18))</f>
        <v>1.66849315068493</v>
      </c>
      <c r="F19" s="340" t="n">
        <f aca="false">IF(SUM($D$17:F17)/12&gt;=Assumptions!$J$51,IF(IS!E19=Assumptions!$J$51,"DONE",IF(IS!E19="DONE","DONE",E19+F18)),(E19+F18))</f>
        <v>2.66849315068493</v>
      </c>
      <c r="G19" s="340" t="n">
        <f aca="false">IF(SUM($D$17:G17)/12&gt;=Assumptions!$J$51,IF(IS!F19=Assumptions!$J$51,"DONE",IF(IS!F19="DONE","DONE",F19+G18)),(F19+G18))</f>
        <v>2.66849315068493</v>
      </c>
      <c r="H19" s="340" t="n">
        <f aca="false">IF(SUM($D17:H17)/12&gt;=Assumptions!$J$51,IF(IS!G19=Assumptions!$J$51,"DONE",IF(IS!G19="DONE","DONE",SUM(IS!F17:H17)/12)),SUM(E$17:H17))</f>
        <v>1</v>
      </c>
      <c r="I19" s="340" t="n">
        <f aca="false">IF(SUM($D17:I17)/12&gt;=Assumptions!$J$51,IF(IS!H19=Assumptions!$J$51,"DONE",IF(IS!H19="DONE","DONE",SUM(IS!G17:I17)/12)),SUM(F$17:I17))</f>
        <v>0</v>
      </c>
      <c r="J19" s="340" t="n">
        <f aca="false">IF(SUM($D17:J17)/12&gt;=Assumptions!$J$51,IF(IS!I19=Assumptions!$J$51,"DONE",IF(IS!I19="DONE","DONE",SUM(IS!H17:J17)/12)),SUM(G$17:J17))</f>
        <v>0</v>
      </c>
      <c r="K19" s="340" t="n">
        <f aca="false">IF(SUM($D17:K17)/12&gt;=Assumptions!$J$51,IF(IS!J19=Assumptions!$J$51,"DONE",IF(IS!J19="DONE","DONE",SUM(IS!I17:K17)/12)),SUM(H$17:K17))</f>
        <v>0</v>
      </c>
      <c r="L19" s="340" t="n">
        <f aca="false">IF(SUM($D17:L17)/12&gt;=Assumptions!$J$51,IF(IS!K19=Assumptions!$J$51,"DONE",IF(IS!K19="DONE","DONE",SUM(IS!J17:L17)/12)),SUM(I$17:L17))</f>
        <v>0</v>
      </c>
      <c r="M19" s="340" t="n">
        <f aca="false">IF(SUM($D17:M17)/12&gt;=Assumptions!$J$51,IF(IS!L19=Assumptions!$J$51,"DONE",IF(IS!L19="DONE","DONE",SUM(IS!K17:M17)/12)),SUM(J$17:M17))</f>
        <v>0</v>
      </c>
      <c r="N19" s="340" t="n">
        <f aca="false">IF(SUM($D17:N17)/12&gt;=Assumptions!$J$51,IF(IS!M19=Assumptions!$J$51,"DONE",IF(IS!M19="DONE","DONE",SUM(IS!L17:N17)/12)),SUM(K$17:N17))</f>
        <v>0</v>
      </c>
      <c r="O19" s="340" t="n">
        <f aca="false">IF(SUM($D17:O17)/12&gt;=Assumptions!$J$51,IF(IS!N19=Assumptions!$J$51,"DONE",IF(IS!N19="DONE","DONE",SUM(IS!M17:O17)/12)),SUM(L$17:O17))</f>
        <v>0</v>
      </c>
      <c r="P19" s="340" t="n">
        <f aca="false">IF(SUM($D17:P17)/12&gt;=Assumptions!$J$51,IF(IS!O19=Assumptions!$J$51,"DONE",IF(IS!O19="DONE","DONE",SUM(IS!N17:P17)/12)),SUM(M$17:P17))</f>
        <v>0</v>
      </c>
      <c r="Q19" s="340" t="n">
        <f aca="false">IF(SUM($D17:Q17)/12&gt;=Assumptions!$J$51,IF(IS!P19=Assumptions!$J$51,"DONE",IF(IS!P19="DONE","DONE",SUM(IS!O17:Q17)/12)),SUM(N$17:Q17))</f>
        <v>0</v>
      </c>
      <c r="R19" s="340" t="n">
        <f aca="false">IF(SUM($D17:R17)/12&gt;=Assumptions!$J$51,IF(IS!Q19=Assumptions!$J$51,"DONE",IF(IS!Q19="DONE","DONE",SUM(IS!P17:R17)/12)),SUM(O$17:R17))</f>
        <v>0</v>
      </c>
      <c r="S19" s="340" t="n">
        <f aca="false">IF(SUM($D17:S17)/12&gt;=Assumptions!$J$51,IF(IS!R19=Assumptions!$J$51,"DONE",IF(IS!R19="DONE","DONE",SUM(IS!Q17:S17)/12)),SUM(P$17:S17))</f>
        <v>0</v>
      </c>
      <c r="T19" s="340" t="n">
        <f aca="false">IF(SUM($D17:T17)/12&gt;=Assumptions!$J$51,IF(IS!S19=Assumptions!$J$51,"DONE",IF(IS!S19="DONE","DONE",SUM(IS!R17:T17)/12)),SUM(Q$17:T17))</f>
        <v>0</v>
      </c>
      <c r="U19" s="340" t="n">
        <f aca="false">IF(SUM($D17:U17)/12&gt;=Assumptions!$J$51,IF(IS!T19=Assumptions!$J$51,"DONE",IF(IS!T19="DONE","DONE",SUM(IS!S17:U17)/12)),SUM(R$17:U17))</f>
        <v>0</v>
      </c>
      <c r="V19" s="340" t="n">
        <f aca="false">IF(SUM($D17:V17)/12&gt;=Assumptions!$J$51,IF(IS!U19=Assumptions!$J$51,"DONE",IF(IS!U19="DONE","DONE",SUM(IS!T17:V17)/12)),SUM(S$17:V17))</f>
        <v>0</v>
      </c>
      <c r="W19" s="340" t="n">
        <f aca="false">IF(SUM($D17:W17)/12&gt;=Assumptions!$J$51,IF(IS!V19=Assumptions!$J$51,"DONE",IF(IS!V19="DONE","DONE",SUM(IS!U17:W17)/12)),SUM(T$17:W17))</f>
        <v>0</v>
      </c>
      <c r="X19" s="340" t="n">
        <f aca="false">IF(SUM($D17:X17)/12&gt;=Assumptions!$J$51,IF(IS!W19=Assumptions!$J$51,"DONE",IF(IS!W19="DONE","DONE",SUM(IS!V17:X17)/12)),SUM(U$17:X17))</f>
        <v>0</v>
      </c>
      <c r="Y19" s="340" t="n">
        <f aca="false">IF(SUM($D17:Y17)/12&gt;=Assumptions!$J$51,IF(IS!X19=Assumptions!$J$51,"DONE",IF(IS!X19="DONE","DONE",SUM(IS!W17:Y17)/12)),SUM(V$17:Y17))</f>
        <v>0</v>
      </c>
      <c r="Z19" s="340" t="n">
        <f aca="false">IF(SUM($D17:Z17)/12&gt;=Assumptions!$J$51,IF(IS!Y19=Assumptions!$J$51,"DONE",IF(IS!Y19="DONE","DONE",SUM(IS!X17:Z17)/12)),SUM(W$17:Z17))</f>
        <v>0</v>
      </c>
      <c r="AA19" s="340" t="n">
        <f aca="false">IF(SUM($D17:AA17)/12&gt;=Assumptions!$J$51,IF(IS!Z19=Assumptions!$J$51,"DONE",IF(IS!Z19="DONE","DONE",SUM(IS!Y17:AA17)/12)),SUM(X$17:AA17))</f>
        <v>0</v>
      </c>
      <c r="AB19" s="340" t="n">
        <f aca="false">IF(SUM($D17:AB17)/12&gt;=Assumptions!$J$51,IF(IS!AA19=Assumptions!$J$51,"DONE",IF(IS!AA19="DONE","DONE",SUM(IS!Z17:AB17)/12)),SUM(Y$17:AB17))</f>
        <v>0</v>
      </c>
      <c r="AC19" s="340" t="n">
        <f aca="false">IF(SUM($D17:AC17)/12&gt;=Assumptions!$J$51,IF(IS!AB19=Assumptions!$J$51,"DONE",IF(IS!AB19="DONE","DONE",SUM(IS!AA17:AC17)/12)),SUM(Z$17:AC17))</f>
        <v>0</v>
      </c>
      <c r="AD19" s="340" t="n">
        <f aca="false">IF(SUM($D17:AD17)/12&gt;=Assumptions!$J$51,IF(IS!AC19=Assumptions!$J$51,"DONE",IF(IS!AC19="DONE","DONE",SUM(IS!AB17:AD17)/12)),SUM(AA$17:AD17))</f>
        <v>0</v>
      </c>
      <c r="AE19" s="340" t="n">
        <f aca="false">IF(SUM($D17:AE17)/12&gt;=Assumptions!$J$51,IF(IS!AD19=Assumptions!$J$51,"DONE",IF(IS!AD19="DONE","DONE",SUM(IS!AC17:AE17)/12)),SUM(AB$17:AE17))</f>
        <v>0</v>
      </c>
      <c r="AF19" s="340" t="n">
        <f aca="false">IF(SUM($D17:AF17)/12&gt;=Assumptions!$J$51,IF(IS!AE19=Assumptions!$J$51,"DONE",IF(IS!AE19="DONE","DONE",SUM(IS!AD17:AF17)/12)),SUM(AC$17:AF17))</f>
        <v>0</v>
      </c>
      <c r="AG19" s="340" t="n">
        <f aca="false">IF(SUM($D17:AG17)/12&gt;=Assumptions!$J$51,IF(IS!AF19=Assumptions!$J$51,"DONE",IF(IS!AF19="DONE","DONE",SUM(IS!AE17:AG17)/12)),SUM(AD$17:AG17))</f>
        <v>0</v>
      </c>
      <c r="AH19" s="340" t="n">
        <f aca="false">IF(SUM($D17:AH17)/12&gt;=Assumptions!$J$51,IF(IS!AG19=Assumptions!$J$51,"DONE",IF(IS!AG19="DONE","DONE",SUM(IS!AF17:AH17)/12)),SUM(AE$17:AH17))</f>
        <v>0</v>
      </c>
    </row>
    <row r="20" customFormat="false" ht="12.75" hidden="false" customHeight="false" outlineLevel="1" collapsed="false">
      <c r="D20" s="339"/>
      <c r="E20" s="340"/>
      <c r="F20" s="341"/>
      <c r="G20" s="340"/>
      <c r="H20" s="340"/>
      <c r="I20" s="340"/>
      <c r="J20" s="340"/>
      <c r="K20" s="340"/>
      <c r="L20" s="340"/>
      <c r="M20" s="340"/>
      <c r="N20" s="340"/>
      <c r="O20" s="340"/>
      <c r="P20" s="340"/>
      <c r="Q20" s="340"/>
      <c r="R20" s="340"/>
      <c r="S20" s="340"/>
      <c r="T20" s="340"/>
      <c r="U20" s="340"/>
      <c r="V20" s="340"/>
      <c r="W20" s="340"/>
      <c r="X20" s="340"/>
      <c r="Y20" s="340"/>
      <c r="Z20" s="340"/>
      <c r="AA20" s="340"/>
      <c r="AB20" s="340"/>
      <c r="AC20" s="340"/>
      <c r="AD20" s="340"/>
      <c r="AE20" s="340"/>
      <c r="AF20" s="340"/>
      <c r="AG20" s="340"/>
      <c r="AH20" s="340"/>
    </row>
    <row r="21" customFormat="false" ht="12.75" hidden="false" customHeight="false" outlineLevel="1" collapsed="false">
      <c r="A21" s="331" t="s">
        <v>256</v>
      </c>
      <c r="D21" s="332" t="n">
        <v>0</v>
      </c>
      <c r="E21" s="332" t="n">
        <v>0</v>
      </c>
      <c r="F21" s="332" t="n">
        <v>0</v>
      </c>
      <c r="G21" s="342" t="n">
        <v>12</v>
      </c>
      <c r="H21" s="337" t="n">
        <v>12</v>
      </c>
      <c r="I21" s="337" t="n">
        <v>12</v>
      </c>
      <c r="J21" s="337" t="n">
        <v>12</v>
      </c>
      <c r="K21" s="337" t="n">
        <v>12</v>
      </c>
      <c r="L21" s="337" t="n">
        <v>12</v>
      </c>
      <c r="M21" s="337" t="n">
        <v>12</v>
      </c>
      <c r="N21" s="337" t="n">
        <v>12</v>
      </c>
      <c r="O21" s="337" t="n">
        <v>12</v>
      </c>
      <c r="P21" s="337" t="n">
        <v>12</v>
      </c>
      <c r="Q21" s="337" t="n">
        <v>12</v>
      </c>
      <c r="R21" s="337" t="n">
        <v>12</v>
      </c>
      <c r="S21" s="337" t="n">
        <v>12</v>
      </c>
      <c r="T21" s="337" t="n">
        <v>12</v>
      </c>
      <c r="U21" s="338" t="n">
        <v>12</v>
      </c>
      <c r="V21" s="332" t="n">
        <v>0</v>
      </c>
      <c r="W21" s="332" t="n">
        <v>0</v>
      </c>
      <c r="X21" s="332" t="n">
        <v>0</v>
      </c>
      <c r="Y21" s="332" t="n">
        <v>0</v>
      </c>
      <c r="Z21" s="332" t="n">
        <v>0</v>
      </c>
      <c r="AA21" s="332" t="n">
        <v>0</v>
      </c>
      <c r="AB21" s="332" t="n">
        <v>0</v>
      </c>
      <c r="AC21" s="332" t="n">
        <v>0</v>
      </c>
      <c r="AD21" s="332" t="n">
        <v>0</v>
      </c>
      <c r="AE21" s="332" t="n">
        <v>0</v>
      </c>
      <c r="AF21" s="332" t="n">
        <v>0</v>
      </c>
      <c r="AG21" s="332" t="n">
        <v>0</v>
      </c>
      <c r="AH21" s="332" t="n">
        <v>0</v>
      </c>
    </row>
    <row r="22" customFormat="false" ht="12.75" hidden="false" customHeight="false" outlineLevel="1" collapsed="false">
      <c r="A22" s="331" t="s">
        <v>257</v>
      </c>
      <c r="D22" s="333" t="n">
        <f aca="false">D21/12</f>
        <v>0</v>
      </c>
      <c r="E22" s="333" t="n">
        <f aca="false">E21/12</f>
        <v>0</v>
      </c>
      <c r="F22" s="333" t="n">
        <f aca="false">F21/12</f>
        <v>0</v>
      </c>
      <c r="G22" s="333" t="n">
        <f aca="false">G21/12</f>
        <v>1</v>
      </c>
      <c r="H22" s="333" t="n">
        <f aca="false">H21/12</f>
        <v>1</v>
      </c>
      <c r="I22" s="333" t="n">
        <f aca="false">I21/12</f>
        <v>1</v>
      </c>
      <c r="J22" s="333" t="n">
        <f aca="false">J21/12</f>
        <v>1</v>
      </c>
      <c r="K22" s="333" t="n">
        <f aca="false">K21/12</f>
        <v>1</v>
      </c>
      <c r="L22" s="333" t="n">
        <f aca="false">L21/12</f>
        <v>1</v>
      </c>
      <c r="M22" s="333" t="n">
        <f aca="false">M21/12</f>
        <v>1</v>
      </c>
      <c r="N22" s="333" t="n">
        <f aca="false">N21/12</f>
        <v>1</v>
      </c>
      <c r="O22" s="333" t="n">
        <f aca="false">O21/12</f>
        <v>1</v>
      </c>
      <c r="P22" s="333" t="n">
        <f aca="false">P21/12</f>
        <v>1</v>
      </c>
      <c r="Q22" s="333" t="n">
        <f aca="false">Q21/12</f>
        <v>1</v>
      </c>
      <c r="R22" s="333" t="n">
        <f aca="false">R21/12</f>
        <v>1</v>
      </c>
      <c r="S22" s="333" t="n">
        <f aca="false">S21/12</f>
        <v>1</v>
      </c>
      <c r="T22" s="333" t="n">
        <f aca="false">T21/12</f>
        <v>1</v>
      </c>
      <c r="U22" s="333" t="n">
        <f aca="false">U21/12</f>
        <v>1</v>
      </c>
      <c r="V22" s="333" t="n">
        <f aca="false">V21/12</f>
        <v>0</v>
      </c>
      <c r="W22" s="333" t="n">
        <f aca="false">W21/12</f>
        <v>0</v>
      </c>
      <c r="X22" s="333" t="n">
        <f aca="false">X21/12</f>
        <v>0</v>
      </c>
      <c r="Y22" s="333" t="n">
        <f aca="false">Y21/12</f>
        <v>0</v>
      </c>
      <c r="Z22" s="333" t="n">
        <f aca="false">Z21/12</f>
        <v>0</v>
      </c>
      <c r="AA22" s="333" t="n">
        <f aca="false">AA21/12</f>
        <v>0</v>
      </c>
      <c r="AB22" s="333" t="n">
        <f aca="false">AB21/12</f>
        <v>0</v>
      </c>
      <c r="AC22" s="333" t="n">
        <f aca="false">AC21/12</f>
        <v>0</v>
      </c>
      <c r="AD22" s="333" t="n">
        <f aca="false">AD21/12</f>
        <v>0</v>
      </c>
      <c r="AE22" s="333" t="n">
        <f aca="false">AE21/12</f>
        <v>0</v>
      </c>
      <c r="AF22" s="333" t="n">
        <f aca="false">AF21/12</f>
        <v>0</v>
      </c>
      <c r="AG22" s="333" t="n">
        <f aca="false">AG21/12</f>
        <v>0</v>
      </c>
      <c r="AH22" s="333" t="n">
        <f aca="false">AH21/12</f>
        <v>0</v>
      </c>
    </row>
    <row r="23" customFormat="false" ht="12.75" hidden="false" customHeight="false" outlineLevel="1" collapsed="false">
      <c r="A23" s="1" t="s">
        <v>255</v>
      </c>
      <c r="D23" s="339" t="n">
        <f aca="false">D22/1</f>
        <v>0</v>
      </c>
      <c r="E23" s="340" t="n">
        <f aca="false">IF(SUM($D$21:E21)/12&gt;=Assumptions!$J$63,IF(IS!D23=Assumptions!$J$63,"DONE",IF(IS!D23="DONE","DONE",D23+E22)),(D23+E22))</f>
        <v>0</v>
      </c>
      <c r="F23" s="340" t="n">
        <f aca="false">IF(SUM($D$21:F21)/12&gt;=Assumptions!$J$63,IF(IS!E23=Assumptions!$J$63,"DONE",IF(IS!E23="DONE","DONE",E23+F22)),(E23+F22))</f>
        <v>0</v>
      </c>
      <c r="G23" s="340" t="n">
        <f aca="false">IF(SUM($D$21:G21)/12&gt;=Assumptions!$J$63,IF(IS!F23=Assumptions!$J$63,"DONE",IF(IS!F23="DONE","DONE",F23+G22)),(F23+G22))</f>
        <v>1</v>
      </c>
      <c r="H23" s="340" t="n">
        <f aca="false">IF(SUM($D$21:H21)/12&gt;=Assumptions!$J$63,IF(IS!G23=Assumptions!$J$63,"DONE",IF(IS!G23="DONE","DONE",G23+H22)),(G23+H22))</f>
        <v>2</v>
      </c>
      <c r="I23" s="340" t="n">
        <f aca="false">IF(SUM($D$21:I21)/12&gt;=Assumptions!$J$63,IF(IS!H23=Assumptions!$J$63,"DONE",IF(IS!H23="DONE","DONE",H23+I22)),(H23+I22))</f>
        <v>3</v>
      </c>
      <c r="J23" s="340" t="n">
        <f aca="false">IF(SUM($D$21:J21)/12&gt;=Assumptions!$J$63,IF(IS!I23=Assumptions!$J$63,"DONE",IF(IS!I23="DONE","DONE",I23+J22)),(I23+J22))</f>
        <v>4</v>
      </c>
      <c r="K23" s="340" t="n">
        <f aca="false">IF(SUM($D$21:K21)/12&gt;=Assumptions!$J$63,IF(IS!J23=Assumptions!$J$63,"DONE",IF(IS!J23="DONE","DONE",J23+K22)),(J23+K22))</f>
        <v>5</v>
      </c>
      <c r="L23" s="340" t="n">
        <f aca="false">IF(SUM($D$21:L21)/12&gt;=Assumptions!$J$63,IF(IS!K23=Assumptions!$J$63,"DONE",IF(IS!K23="DONE","DONE",K23+L22)),(K23+L22))</f>
        <v>6</v>
      </c>
      <c r="M23" s="340" t="n">
        <f aca="false">IF(SUM($D$21:M21)/12&gt;=Assumptions!$J$63,IF(IS!L23=Assumptions!$J$63,"DONE",IF(IS!L23="DONE","DONE",L23+M22)),(L23+M22))</f>
        <v>7</v>
      </c>
      <c r="N23" s="340" t="n">
        <f aca="false">IF(SUM($D$21:N21)/12&gt;=Assumptions!$J$63,IF(IS!M23=Assumptions!$J$63,"DONE",IF(IS!M23="DONE","DONE",M23+N22)),(M23+N22))</f>
        <v>8</v>
      </c>
      <c r="O23" s="340" t="n">
        <f aca="false">IF(SUM($D$21:O21)/12&gt;=Assumptions!$J$63,IF(IS!N23=Assumptions!$J$63,"DONE",IF(IS!N23="DONE","DONE",N23+O22)),(N23+O22))</f>
        <v>9</v>
      </c>
      <c r="P23" s="340" t="n">
        <f aca="false">IF(SUM($D$21:P21)/12&gt;=Assumptions!$J$63,IF(IS!O23=Assumptions!$J$63,"DONE",IF(IS!O23="DONE","DONE",O23+P22)),(O23+P22))</f>
        <v>10</v>
      </c>
      <c r="Q23" s="340" t="n">
        <f aca="false">IF(SUM($D$21:Q21)/12&gt;=Assumptions!$J$63,IF(IS!P23=Assumptions!$J$63,"DONE",IF(IS!P23="DONE","DONE",P23+Q22)),(P23+Q22))</f>
        <v>11</v>
      </c>
      <c r="R23" s="340" t="n">
        <f aca="false">IF(SUM($D$21:R21)/12&gt;=Assumptions!$J$63,IF(IS!Q23=Assumptions!$J$63,"DONE",IF(IS!Q23="DONE","DONE",Q23+R22)),(Q23+R22))</f>
        <v>12</v>
      </c>
      <c r="S23" s="340" t="n">
        <f aca="false">IF(SUM($D$21:S21)/12&gt;=Assumptions!$J$63,IF(IS!R23=Assumptions!$J$63,"DONE",IF(IS!R23="DONE","DONE",R23+S22)),(R23+S22))</f>
        <v>13</v>
      </c>
      <c r="T23" s="340" t="n">
        <f aca="false">IF(SUM($D$21:T21)/12&gt;=Assumptions!$J$63,IF(IS!S23=Assumptions!$J$63,"DONE",IF(IS!S23="DONE","DONE",S23+T22)),(S23+T22))</f>
        <v>14</v>
      </c>
      <c r="U23" s="340" t="n">
        <f aca="false">IF(SUM($D$21:U21)/12&gt;=Assumptions!$J$63,IF(IS!T23=Assumptions!$J$63,"DONE",IF(IS!T23="DONE","DONE",T23+U22)),(T23+U22))</f>
        <v>15</v>
      </c>
      <c r="V23" s="340" t="str">
        <f aca="false">IF(SUM($D$21:V21)/12&gt;=Assumptions!$J$63,IF(IS!U23=Assumptions!$J$63,"DONE",IF(IS!U23="DONE","DONE",U23+V22)),(U23+V22))</f>
        <v>DONE</v>
      </c>
      <c r="W23" s="340" t="str">
        <f aca="false">IF(SUM($D$21:W21)/12&gt;=Assumptions!$J$63,IF(IS!V23=Assumptions!$J$63,"DONE",IF(IS!V23="DONE","DONE",V23+W22)),(V23+W22))</f>
        <v>DONE</v>
      </c>
      <c r="X23" s="340" t="str">
        <f aca="false">IF(SUM($D$21:X21)/12&gt;=Assumptions!$J$63,IF(IS!W23=Assumptions!$J$63,"DONE",IF(IS!W23="DONE","DONE",W23+X22)),(W23+X22))</f>
        <v>DONE</v>
      </c>
      <c r="Y23" s="340" t="str">
        <f aca="false">IF(SUM($D$21:Y21)/12&gt;=Assumptions!$J$63,IF(IS!X23=Assumptions!$J$63,"DONE",IF(IS!X23="DONE","DONE",X23+Y22)),(X23+Y22))</f>
        <v>DONE</v>
      </c>
      <c r="Z23" s="340" t="str">
        <f aca="false">IF(SUM($D$21:Z21)/12&gt;=Assumptions!$J$63,IF(IS!Y23=Assumptions!$J$63,"DONE",IF(IS!Y23="DONE","DONE",Y23+Z22)),(Y23+Z22))</f>
        <v>DONE</v>
      </c>
      <c r="AA23" s="340" t="str">
        <f aca="false">IF(SUM($D$21:AA21)/12&gt;=Assumptions!$J$63,IF(IS!Z23=Assumptions!$J$63,"DONE",IF(IS!Z23="DONE","DONE",Z23+AA22)),(Z23+AA22))</f>
        <v>DONE</v>
      </c>
      <c r="AB23" s="340" t="str">
        <f aca="false">IF(SUM($D$21:AB21)/12&gt;=Assumptions!$J$63,IF(IS!AA23=Assumptions!$J$63,"DONE",IF(IS!AA23="DONE","DONE",AA23+AB22)),(AA23+AB22))</f>
        <v>DONE</v>
      </c>
      <c r="AC23" s="340" t="str">
        <f aca="false">IF(SUM($D$21:AC21)/12&gt;=Assumptions!$J$63,IF(IS!AB23=Assumptions!$J$63,"DONE",IF(IS!AB23="DONE","DONE",AB23+AC22)),(AB23+AC22))</f>
        <v>DONE</v>
      </c>
      <c r="AD23" s="340" t="str">
        <f aca="false">IF(SUM($D$21:AD21)/12&gt;=Assumptions!$J$63,IF(IS!AC23=Assumptions!$J$63,"DONE",IF(IS!AC23="DONE","DONE",AC23+AD22)),(AC23+AD22))</f>
        <v>DONE</v>
      </c>
      <c r="AE23" s="340" t="str">
        <f aca="false">IF(SUM($D$21:AE21)/12&gt;=Assumptions!$J$63,IF(IS!AD23=Assumptions!$J$63,"DONE",IF(IS!AD23="DONE","DONE",AD23+AE22)),(AD23+AE22))</f>
        <v>DONE</v>
      </c>
      <c r="AF23" s="340" t="str">
        <f aca="false">IF(SUM($D$21:AF21)/12&gt;=Assumptions!$J$63,IF(IS!AE23=Assumptions!$J$63,"DONE",IF(IS!AE23="DONE","DONE",AE23+AF22)),(AE23+AF22))</f>
        <v>DONE</v>
      </c>
      <c r="AG23" s="340" t="str">
        <f aca="false">IF(SUM($D$21:AG21)/12&gt;=Assumptions!$J$63,IF(IS!AF23=Assumptions!$J$63,"DONE",IF(IS!AF23="DONE","DONE",AF23+AG22)),(AF23+AG22))</f>
        <v>DONE</v>
      </c>
      <c r="AH23" s="340" t="str">
        <f aca="false">IF(SUM($D$21:AH21)/12&gt;=Assumptions!$J$63,IF(IS!AG23=Assumptions!$J$63,"DONE",IF(IS!AG23="DONE","DONE",AG23+AH22)),(AG23+AH22))</f>
        <v>DONE</v>
      </c>
    </row>
    <row r="24" customFormat="false" ht="12.75" hidden="false" customHeight="false" outlineLevel="1" collapsed="false">
      <c r="A24" s="331"/>
      <c r="D24" s="333"/>
      <c r="E24" s="333"/>
      <c r="F24" s="333"/>
      <c r="G24" s="333"/>
      <c r="H24" s="333"/>
      <c r="I24" s="333"/>
      <c r="J24" s="333"/>
      <c r="K24" s="333"/>
      <c r="L24" s="333"/>
      <c r="M24" s="333"/>
      <c r="N24" s="333"/>
      <c r="O24" s="333"/>
      <c r="P24" s="333"/>
      <c r="Q24" s="333"/>
      <c r="R24" s="333"/>
      <c r="S24" s="333"/>
      <c r="T24" s="333"/>
      <c r="U24" s="333"/>
      <c r="V24" s="333"/>
      <c r="W24" s="333"/>
      <c r="X24" s="333"/>
      <c r="Y24" s="333"/>
      <c r="Z24" s="333"/>
      <c r="AA24" s="333"/>
      <c r="AB24" s="333"/>
      <c r="AC24" s="333"/>
      <c r="AD24" s="333"/>
      <c r="AE24" s="333"/>
      <c r="AF24" s="333"/>
      <c r="AG24" s="333"/>
      <c r="AH24" s="333"/>
    </row>
    <row r="25" customFormat="false" ht="12.75" hidden="false" customHeight="false" outlineLevel="1" collapsed="false">
      <c r="A25" s="331" t="s">
        <v>258</v>
      </c>
      <c r="D25" s="332" t="n">
        <v>0</v>
      </c>
      <c r="E25" s="332" t="n">
        <v>0</v>
      </c>
      <c r="F25" s="332" t="n">
        <v>0</v>
      </c>
      <c r="G25" s="332" t="n">
        <v>0</v>
      </c>
      <c r="H25" s="332" t="n">
        <v>0</v>
      </c>
      <c r="I25" s="332" t="n">
        <v>0</v>
      </c>
      <c r="J25" s="332" t="n">
        <v>0</v>
      </c>
      <c r="K25" s="332" t="n">
        <v>0</v>
      </c>
      <c r="L25" s="332" t="n">
        <v>0</v>
      </c>
      <c r="M25" s="332" t="n">
        <v>0</v>
      </c>
      <c r="N25" s="332" t="n">
        <v>0</v>
      </c>
      <c r="O25" s="332" t="n">
        <v>0</v>
      </c>
      <c r="P25" s="332" t="n">
        <v>0</v>
      </c>
      <c r="Q25" s="332" t="n">
        <v>0</v>
      </c>
      <c r="R25" s="332" t="n">
        <v>0</v>
      </c>
      <c r="S25" s="332" t="n">
        <v>0</v>
      </c>
      <c r="T25" s="332" t="n">
        <v>0</v>
      </c>
      <c r="U25" s="332" t="n">
        <v>0</v>
      </c>
      <c r="V25" s="342" t="n">
        <v>12</v>
      </c>
      <c r="W25" s="337" t="n">
        <v>12</v>
      </c>
      <c r="X25" s="337" t="n">
        <v>12</v>
      </c>
      <c r="Y25" s="337" t="n">
        <v>12</v>
      </c>
      <c r="Z25" s="337" t="n">
        <v>12</v>
      </c>
      <c r="AA25" s="337" t="n">
        <v>12</v>
      </c>
      <c r="AB25" s="338" t="n">
        <v>12</v>
      </c>
      <c r="AC25" s="332" t="n">
        <v>0</v>
      </c>
      <c r="AD25" s="332" t="n">
        <v>0</v>
      </c>
      <c r="AE25" s="332" t="n">
        <v>0</v>
      </c>
      <c r="AF25" s="332" t="n">
        <v>0</v>
      </c>
      <c r="AG25" s="332" t="n">
        <v>0</v>
      </c>
      <c r="AH25" s="332" t="n">
        <v>0</v>
      </c>
    </row>
    <row r="26" customFormat="false" ht="12.75" hidden="false" customHeight="false" outlineLevel="1" collapsed="false">
      <c r="A26" s="331" t="s">
        <v>259</v>
      </c>
      <c r="D26" s="333" t="n">
        <f aca="false">D25/12</f>
        <v>0</v>
      </c>
      <c r="E26" s="333" t="n">
        <f aca="false">E25/12</f>
        <v>0</v>
      </c>
      <c r="F26" s="333" t="n">
        <f aca="false">F25/12</f>
        <v>0</v>
      </c>
      <c r="G26" s="333" t="n">
        <f aca="false">G25/12</f>
        <v>0</v>
      </c>
      <c r="H26" s="333" t="n">
        <f aca="false">H25/12</f>
        <v>0</v>
      </c>
      <c r="I26" s="333" t="n">
        <f aca="false">I25/12</f>
        <v>0</v>
      </c>
      <c r="J26" s="333" t="n">
        <f aca="false">J25/12</f>
        <v>0</v>
      </c>
      <c r="K26" s="333" t="n">
        <f aca="false">K25/12</f>
        <v>0</v>
      </c>
      <c r="L26" s="333" t="n">
        <f aca="false">L25/12</f>
        <v>0</v>
      </c>
      <c r="M26" s="333" t="n">
        <f aca="false">M25/12</f>
        <v>0</v>
      </c>
      <c r="N26" s="333" t="n">
        <f aca="false">N25/12</f>
        <v>0</v>
      </c>
      <c r="O26" s="333" t="n">
        <f aca="false">O25/12</f>
        <v>0</v>
      </c>
      <c r="P26" s="333" t="n">
        <f aca="false">P25/12</f>
        <v>0</v>
      </c>
      <c r="Q26" s="333" t="n">
        <f aca="false">Q25/12</f>
        <v>0</v>
      </c>
      <c r="R26" s="333" t="n">
        <f aca="false">R25/12</f>
        <v>0</v>
      </c>
      <c r="S26" s="333" t="n">
        <f aca="false">S25/12</f>
        <v>0</v>
      </c>
      <c r="T26" s="333" t="n">
        <f aca="false">T25/12</f>
        <v>0</v>
      </c>
      <c r="U26" s="333" t="n">
        <f aca="false">U25/12</f>
        <v>0</v>
      </c>
      <c r="V26" s="333" t="n">
        <f aca="false">V25/12</f>
        <v>1</v>
      </c>
      <c r="W26" s="333" t="n">
        <f aca="false">W25/12</f>
        <v>1</v>
      </c>
      <c r="X26" s="333" t="n">
        <f aca="false">X25/12</f>
        <v>1</v>
      </c>
      <c r="Y26" s="333" t="n">
        <f aca="false">Y25/12</f>
        <v>1</v>
      </c>
      <c r="Z26" s="333" t="n">
        <f aca="false">Z25/12</f>
        <v>1</v>
      </c>
      <c r="AA26" s="333" t="n">
        <f aca="false">AA25/12</f>
        <v>1</v>
      </c>
      <c r="AB26" s="333" t="n">
        <f aca="false">AB25/12</f>
        <v>1</v>
      </c>
      <c r="AC26" s="333" t="n">
        <f aca="false">AC25/12</f>
        <v>0</v>
      </c>
      <c r="AD26" s="333" t="n">
        <f aca="false">AD25/12</f>
        <v>0</v>
      </c>
      <c r="AE26" s="333" t="n">
        <f aca="false">AE25/12</f>
        <v>0</v>
      </c>
      <c r="AF26" s="333" t="n">
        <f aca="false">AF25/12</f>
        <v>0</v>
      </c>
      <c r="AG26" s="333" t="n">
        <f aca="false">AG25/12</f>
        <v>0</v>
      </c>
      <c r="AH26" s="333" t="n">
        <f aca="false">AH25/12</f>
        <v>0</v>
      </c>
    </row>
    <row r="27" customFormat="false" ht="12.75" hidden="false" customHeight="false" outlineLevel="1" collapsed="false">
      <c r="A27" s="1" t="s">
        <v>255</v>
      </c>
      <c r="D27" s="339" t="n">
        <f aca="false">D26/1</f>
        <v>0</v>
      </c>
      <c r="E27" s="340" t="n">
        <f aca="false">IF(SUM($D$25:E25)/12&gt;=Assumptions!$J$75,IF(IS!D27=Assumptions!$J$75,"DONE",IF(IS!D27="DONE","DONE",D27+E26)),(D27+E26))</f>
        <v>0</v>
      </c>
      <c r="F27" s="340" t="n">
        <f aca="false">IF(SUM($D$25:F25)/12&gt;=Assumptions!$J$75,IF(IS!E27=Assumptions!$J$75,"DONE",IF(IS!E27="DONE","DONE",E27+F26)),(E27+F26))</f>
        <v>0</v>
      </c>
      <c r="G27" s="340" t="n">
        <f aca="false">IF(SUM($D$25:G25)/12&gt;=Assumptions!$J$75,IF(IS!F27=Assumptions!$J$75,"DONE",IF(IS!F27="DONE","DONE",F27+G26)),(F27+G26))</f>
        <v>0</v>
      </c>
      <c r="H27" s="340" t="n">
        <f aca="false">IF(SUM($D$25:H25)/12&gt;=Assumptions!$J$75,IF(IS!G27=Assumptions!$J$75,"DONE",IF(IS!G27="DONE","DONE",G27+H26)),(G27+H26))</f>
        <v>0</v>
      </c>
      <c r="I27" s="340" t="n">
        <f aca="false">IF(SUM($D$25:I25)/12&gt;=Assumptions!$J$75,IF(IS!H27=Assumptions!$J$75,"DONE",IF(IS!H27="DONE","DONE",H27+I26)),(H27+I26))</f>
        <v>0</v>
      </c>
      <c r="J27" s="340" t="n">
        <f aca="false">IF(SUM($D$25:J25)/12&gt;=Assumptions!$J$75,IF(IS!I27=Assumptions!$J$75,"DONE",IF(IS!I27="DONE","DONE",I27+J26)),(I27+J26))</f>
        <v>0</v>
      </c>
      <c r="K27" s="340" t="n">
        <f aca="false">IF(SUM($D$25:K25)/12&gt;=Assumptions!$J$75,IF(IS!J27=Assumptions!$J$75,"DONE",IF(IS!J27="DONE","DONE",J27+K26)),(J27+K26))</f>
        <v>0</v>
      </c>
      <c r="L27" s="340" t="n">
        <f aca="false">IF(SUM($D$25:L25)/12&gt;=Assumptions!$J$75,IF(IS!K27=Assumptions!$J$75,"DONE",IF(IS!K27="DONE","DONE",K27+L26)),(K27+L26))</f>
        <v>0</v>
      </c>
      <c r="M27" s="340" t="n">
        <f aca="false">IF(SUM($D$25:M25)/12&gt;=Assumptions!$J$75,IF(IS!L27=Assumptions!$J$75,"DONE",IF(IS!L27="DONE","DONE",L27+M26)),(L27+M26))</f>
        <v>0</v>
      </c>
      <c r="N27" s="340" t="n">
        <f aca="false">IF(SUM($D$25:N25)/12&gt;=Assumptions!$J$75,IF(IS!M27=Assumptions!$J$75,"DONE",IF(IS!M27="DONE","DONE",M27+N26)),(M27+N26))</f>
        <v>0</v>
      </c>
      <c r="O27" s="340" t="n">
        <f aca="false">IF(SUM($D$25:O25)/12&gt;=Assumptions!$J$75,IF(IS!N27=Assumptions!$J$75,"DONE",IF(IS!N27="DONE","DONE",N27+O26)),(N27+O26))</f>
        <v>0</v>
      </c>
      <c r="P27" s="340" t="n">
        <f aca="false">IF(SUM($D$25:P25)/12&gt;=Assumptions!$J$75,IF(IS!O27=Assumptions!$J$75,"DONE",IF(IS!O27="DONE","DONE",O27+P26)),(O27+P26))</f>
        <v>0</v>
      </c>
      <c r="Q27" s="340" t="n">
        <f aca="false">IF(SUM($D$25:Q25)/12&gt;=Assumptions!$J$75,IF(IS!P27=Assumptions!$J$75,"DONE",IF(IS!P27="DONE","DONE",P27+Q26)),(P27+Q26))</f>
        <v>0</v>
      </c>
      <c r="R27" s="340" t="n">
        <f aca="false">IF(SUM($D$25:R25)/12&gt;=Assumptions!$J$75,IF(IS!Q27=Assumptions!$J$75,"DONE",IF(IS!Q27="DONE","DONE",Q27+R26)),(Q27+R26))</f>
        <v>0</v>
      </c>
      <c r="S27" s="340" t="n">
        <f aca="false">IF(SUM($D$25:S25)/12&gt;=Assumptions!$J$75,IF(IS!R27=Assumptions!$J$75,"DONE",IF(IS!R27="DONE","DONE",R27+S26)),(R27+S26))</f>
        <v>0</v>
      </c>
      <c r="T27" s="340" t="n">
        <f aca="false">IF(SUM($D$25:T25)/12&gt;=Assumptions!$J$75,IF(IS!S27=Assumptions!$J$75,"DONE",IF(IS!S27="DONE","DONE",S27+T26)),(S27+T26))</f>
        <v>0</v>
      </c>
      <c r="U27" s="340" t="n">
        <f aca="false">IF(SUM($D$25:U25)/12&gt;=Assumptions!$J$75,IF(IS!T27=Assumptions!$J$75,"DONE",IF(IS!T27="DONE","DONE",T27+U26)),(T27+U26))</f>
        <v>0</v>
      </c>
      <c r="V27" s="340" t="n">
        <f aca="false">IF(SUM($D$25:V25)/12&gt;=Assumptions!$J$75,IF(IS!U27=Assumptions!$J$75,"DONE",IF(IS!U27="DONE","DONE",U27+V26)),(U27+V26))</f>
        <v>1</v>
      </c>
      <c r="W27" s="340" t="n">
        <f aca="false">IF(SUM($D$25:W25)/12&gt;=Assumptions!$J$75,IF(IS!V27=Assumptions!$J$75,"DONE",IF(IS!V27="DONE","DONE",V27+W26)),(V27+W26))</f>
        <v>2</v>
      </c>
      <c r="X27" s="340" t="n">
        <f aca="false">IF(SUM($D$25:X25)/12&gt;=Assumptions!$J$75,IF(IS!W27=Assumptions!$J$75,"DONE",IF(IS!W27="DONE","DONE",W27+X26)),(W27+X26))</f>
        <v>3</v>
      </c>
      <c r="Y27" s="340" t="n">
        <f aca="false">IF(SUM($D$25:Y25)/12&gt;=Assumptions!$J$75,IF(IS!X27=Assumptions!$J$75,"DONE",IF(IS!X27="DONE","DONE",X27+Y26)),(X27+Y26))</f>
        <v>4</v>
      </c>
      <c r="Z27" s="340" t="n">
        <f aca="false">IF(SUM($D$25:Z25)/12&gt;=Assumptions!$J$75,IF(IS!Y27=Assumptions!$J$75,"DONE",IF(IS!Y27="DONE","DONE",Y27+Z26)),(Y27+Z26))</f>
        <v>5</v>
      </c>
      <c r="AA27" s="340" t="n">
        <f aca="false">IF(SUM($D$25:AA25)/12&gt;=Assumptions!$J$75,IF(IS!Z27=Assumptions!$J$75,"DONE",IF(IS!Z27="DONE","DONE",Z27+AA26)),(Z27+AA26))</f>
        <v>6</v>
      </c>
      <c r="AB27" s="340" t="n">
        <f aca="false">IF(SUM($D$25:AB25)/12&gt;=Assumptions!$J$75,IF(IS!AA27=Assumptions!$J$75,"DONE",IF(IS!AA27="DONE","DONE",AA27+AB26)),(AA27+AB26))</f>
        <v>7</v>
      </c>
      <c r="AC27" s="340" t="str">
        <f aca="false">IF(SUM($D$25:AC25)/12&gt;=Assumptions!$J$75,IF(IS!AB27=Assumptions!$J$75,"DONE",IF(IS!AB27="DONE","DONE",AB27+AC26)),(AB27+AC26))</f>
        <v>DONE</v>
      </c>
      <c r="AD27" s="340" t="str">
        <f aca="false">IF(SUM($D$25:AD25)/12&gt;=Assumptions!$J$75,IF(IS!AC27=Assumptions!$J$75,"DONE",IF(IS!AC27="DONE","DONE",AC27+AD26)),(AC27+AD26))</f>
        <v>DONE</v>
      </c>
      <c r="AE27" s="340" t="str">
        <f aca="false">IF(SUM($D$25:AE25)/12&gt;=Assumptions!$J$75,IF(IS!AD27=Assumptions!$J$75,"DONE",IF(IS!AD27="DONE","DONE",AD27+AE26)),(AD27+AE26))</f>
        <v>DONE</v>
      </c>
      <c r="AF27" s="340" t="str">
        <f aca="false">IF(SUM($D$25:AF25)/12&gt;=Assumptions!$J$75,IF(IS!AE27=Assumptions!$J$75,"DONE",IF(IS!AE27="DONE","DONE",AE27+AF26)),(AE27+AF26))</f>
        <v>DONE</v>
      </c>
      <c r="AG27" s="340" t="str">
        <f aca="false">IF(SUM($D$25:AG25)/12&gt;=Assumptions!$J$75,IF(IS!AF27=Assumptions!$J$75,"DONE",IF(IS!AF27="DONE","DONE",AF27+AG26)),(AF27+AG26))</f>
        <v>DONE</v>
      </c>
      <c r="AH27" s="340" t="str">
        <f aca="false">IF(SUM($D$25:AH25)/12&gt;=Assumptions!$J$75,IF(IS!AG27=Assumptions!$J$75,"DONE",IF(IS!AG27="DONE","DONE",AG27+AH26)),(AG27+AH26))</f>
        <v>DONE</v>
      </c>
    </row>
    <row r="28" customFormat="false" ht="12.75" hidden="false" customHeight="false" outlineLevel="0" collapsed="false">
      <c r="A28" s="331"/>
      <c r="D28" s="333"/>
      <c r="E28" s="333"/>
      <c r="F28" s="333"/>
      <c r="G28" s="333"/>
      <c r="H28" s="333"/>
      <c r="I28" s="333"/>
      <c r="J28" s="333"/>
      <c r="K28" s="333"/>
      <c r="L28" s="333"/>
      <c r="M28" s="333"/>
      <c r="N28" s="333"/>
      <c r="O28" s="333"/>
      <c r="P28" s="333"/>
      <c r="Q28" s="333"/>
      <c r="R28" s="333"/>
      <c r="S28" s="333"/>
      <c r="T28" s="333"/>
      <c r="U28" s="333"/>
      <c r="V28" s="333"/>
      <c r="W28" s="333"/>
      <c r="X28" s="333"/>
      <c r="Y28" s="333"/>
      <c r="Z28" s="333"/>
      <c r="AA28" s="333"/>
      <c r="AB28" s="333"/>
      <c r="AC28" s="333"/>
      <c r="AD28" s="333"/>
      <c r="AE28" s="333"/>
      <c r="AF28" s="333"/>
      <c r="AG28" s="333"/>
      <c r="AH28" s="333"/>
    </row>
    <row r="29" customFormat="false" ht="12.75" hidden="false" customHeight="false" outlineLevel="0" collapsed="false">
      <c r="A29" s="331" t="s">
        <v>260</v>
      </c>
      <c r="D29" s="330" t="str">
        <f aca="false">IF(D10=0,"NONE ",IF(AND(D17=0,D21=0),"MARKET","PPA"))</f>
        <v>PPA</v>
      </c>
      <c r="E29" s="330" t="str">
        <f aca="false">IF(E10=0,"NONE ",IF(AND(E17=0,E21=0),"MARKET","PPA"))</f>
        <v>PPA</v>
      </c>
      <c r="F29" s="330" t="str">
        <f aca="false">IF(F10=0,"NONE ",IF(AND(F17=0,F21=0),"MARKET","PPA"))</f>
        <v>PPA</v>
      </c>
      <c r="G29" s="330" t="str">
        <f aca="false">IF(G10=0,"NONE ",IF(AND(G17=0,G21=0),"MARKET","PPA"))</f>
        <v>PPA</v>
      </c>
      <c r="H29" s="330" t="str">
        <f aca="false">IF(H10=0,"NONE ",IF(AND(H17=0,H21=0),"MARKET","PPA"))</f>
        <v>PPA</v>
      </c>
      <c r="I29" s="330" t="str">
        <f aca="false">IF(I10=0,"NONE ",IF(AND(I17=0,I21=0),"MARKET","PPA"))</f>
        <v>PPA</v>
      </c>
      <c r="J29" s="330" t="str">
        <f aca="false">IF(J10=0,"NONE ",IF(AND(J17=0,J21=0),"MARKET","PPA"))</f>
        <v>PPA</v>
      </c>
      <c r="K29" s="330" t="str">
        <f aca="false">IF(K10=0,"NONE ",IF(AND(K17=0,K21=0),"MARKET","PPA"))</f>
        <v>PPA</v>
      </c>
      <c r="L29" s="330" t="str">
        <f aca="false">IF(L10=0,"NONE ",IF(AND(L17=0,L21=0),"MARKET","PPA"))</f>
        <v>PPA</v>
      </c>
      <c r="M29" s="330" t="str">
        <f aca="false">IF(M10=0,"NONE ",IF(AND(M17=0,M21=0),"MARKET","PPA"))</f>
        <v>PPA</v>
      </c>
      <c r="N29" s="330" t="str">
        <f aca="false">IF(N10=0,"NONE ",IF(AND(N17=0,N21=0),"MARKET","PPA"))</f>
        <v>PPA</v>
      </c>
      <c r="O29" s="330" t="str">
        <f aca="false">IF(O10=0,"NONE ",IF(AND(O17=0,O21=0),"MARKET","PPA"))</f>
        <v>PPA</v>
      </c>
      <c r="P29" s="330" t="str">
        <f aca="false">IF(P10=0,"NONE ",IF(AND(P17=0,P21=0),"MARKET","PPA"))</f>
        <v>PPA</v>
      </c>
      <c r="Q29" s="330" t="str">
        <f aca="false">IF(Q10=0,"NONE ",IF(AND(Q17=0,Q21=0),"MARKET","PPA"))</f>
        <v>PPA</v>
      </c>
      <c r="R29" s="330" t="str">
        <f aca="false">IF(R10=0,"NONE ",IF(AND(R17=0,R21=0),"MARKET","PPA"))</f>
        <v>PPA</v>
      </c>
      <c r="S29" s="330" t="str">
        <f aca="false">IF(S10=0,"NONE ",IF(AND(S17=0,S21=0),"MARKET","PPA"))</f>
        <v>PPA</v>
      </c>
      <c r="T29" s="330" t="str">
        <f aca="false">IF(T10=0,"NONE ",IF(AND(T17=0,T21=0),"MARKET","PPA"))</f>
        <v>PPA</v>
      </c>
      <c r="U29" s="330" t="str">
        <f aca="false">IF(U10=0,"NONE ",IF(AND(U17=0,U21=0),"MARKET","PPA"))</f>
        <v>PPA</v>
      </c>
      <c r="V29" s="330" t="str">
        <f aca="false">IF(V10=0,"NONE ",IF(AND(V17=0,V21=0),"MARKET","PPA"))</f>
        <v>MARKET</v>
      </c>
      <c r="W29" s="330" t="str">
        <f aca="false">IF(W10=0,"NONE ",IF(AND(W17=0,W21=0),"MARKET","PPA"))</f>
        <v>MARKET</v>
      </c>
      <c r="X29" s="330" t="str">
        <f aca="false">IF(X10=0,"NONE ",IF(AND(X17=0,X21=0),"MARKET","PPA"))</f>
        <v>MARKET</v>
      </c>
      <c r="Y29" s="330" t="str">
        <f aca="false">IF(Y10=0,"NONE ",IF(AND(Y17=0,Y21=0),"MARKET","PPA"))</f>
        <v>MARKET</v>
      </c>
      <c r="Z29" s="330" t="str">
        <f aca="false">IF(Z10=0,"NONE ",IF(AND(Z17=0,Z21=0),"MARKET","PPA"))</f>
        <v>MARKET</v>
      </c>
      <c r="AA29" s="330" t="str">
        <f aca="false">IF(AA10=0,"NONE ",IF(AND(AA17=0,AA21=0),"MARKET","PPA"))</f>
        <v>MARKET</v>
      </c>
      <c r="AB29" s="330" t="str">
        <f aca="false">IF(AB10=0,"NONE ",IF(AND(AB17=0,AB21=0),"MARKET","PPA"))</f>
        <v>MARKET</v>
      </c>
      <c r="AC29" s="330" t="str">
        <f aca="false">IF(AC10=0,"NONE ",IF(AND(AC17=0,AC21=0),"MARKET","PPA"))</f>
        <v>NONE </v>
      </c>
      <c r="AD29" s="330" t="str">
        <f aca="false">IF(AD10=0,"NONE ",IF(AND(AD17=0,AD21=0),"MARKET","PPA"))</f>
        <v>NONE </v>
      </c>
      <c r="AE29" s="330" t="str">
        <f aca="false">IF(AE10=0,"NONE ",IF(AND(AE17=0,AE21=0),"MARKET","PPA"))</f>
        <v>NONE </v>
      </c>
      <c r="AF29" s="330" t="str">
        <f aca="false">IF(AF10=0,"NONE ",IF(AND(AF17=0,AF21=0),"MARKET","PPA"))</f>
        <v>NONE </v>
      </c>
      <c r="AG29" s="330" t="str">
        <f aca="false">IF(AG10=0,"NONE ",IF(AND(AG17=0,AG21=0),"MARKET","PPA"))</f>
        <v>NONE </v>
      </c>
      <c r="AH29" s="330" t="str">
        <f aca="false">IF(AH10=0,"NONE ",IF(AND(AH17=0,AH21=0),"MARKET","PPA"))</f>
        <v>NONE </v>
      </c>
    </row>
    <row r="30" customFormat="false" ht="12.75" hidden="false" customHeight="false" outlineLevel="0" collapsed="false">
      <c r="A30" s="329"/>
      <c r="D30" s="330"/>
      <c r="E30" s="330"/>
      <c r="F30" s="330"/>
      <c r="G30" s="330"/>
      <c r="H30" s="330"/>
      <c r="I30" s="330"/>
      <c r="J30" s="330"/>
      <c r="K30" s="330"/>
      <c r="L30" s="330"/>
      <c r="M30" s="330"/>
      <c r="N30" s="330"/>
      <c r="O30" s="330"/>
      <c r="P30" s="330"/>
      <c r="Q30" s="330"/>
      <c r="R30" s="330"/>
      <c r="S30" s="330"/>
      <c r="T30" s="330"/>
      <c r="U30" s="330"/>
      <c r="V30" s="330"/>
      <c r="W30" s="330"/>
      <c r="X30" s="330"/>
      <c r="Y30" s="330"/>
      <c r="Z30" s="330"/>
      <c r="AA30" s="330"/>
      <c r="AB30" s="330"/>
      <c r="AC30" s="330"/>
      <c r="AD30" s="330"/>
      <c r="AE30" s="330"/>
      <c r="AF30" s="330"/>
      <c r="AG30" s="330"/>
      <c r="AH30" s="330"/>
    </row>
    <row r="31" customFormat="false" ht="12.75" hidden="false" customHeight="false" outlineLevel="0" collapsed="false">
      <c r="A31" s="116" t="s">
        <v>261</v>
      </c>
      <c r="D31" s="343"/>
      <c r="E31" s="343"/>
      <c r="F31" s="343"/>
      <c r="G31" s="343"/>
      <c r="H31" s="343"/>
      <c r="I31" s="343"/>
      <c r="J31" s="343"/>
      <c r="K31" s="343"/>
      <c r="L31" s="343"/>
      <c r="M31" s="343"/>
      <c r="N31" s="343"/>
      <c r="O31" s="343"/>
      <c r="P31" s="343"/>
      <c r="Q31" s="343"/>
      <c r="R31" s="343"/>
      <c r="S31" s="343"/>
      <c r="T31" s="343"/>
      <c r="U31" s="343"/>
      <c r="V31" s="343"/>
      <c r="W31" s="343"/>
      <c r="X31" s="343"/>
      <c r="Y31" s="343"/>
      <c r="Z31" s="343"/>
      <c r="AA31" s="343"/>
      <c r="AB31" s="343"/>
      <c r="AC31" s="343"/>
      <c r="AD31" s="343"/>
      <c r="AE31" s="343"/>
      <c r="AF31" s="343"/>
      <c r="AG31" s="343"/>
      <c r="AH31" s="343"/>
    </row>
    <row r="32" customFormat="false" ht="12.75" hidden="false" customHeight="false" outlineLevel="0" collapsed="false">
      <c r="A32" s="344" t="str">
        <f aca="false">Assumptions!H50</f>
        <v>MEAG Fixed Price Period</v>
      </c>
      <c r="D32" s="343"/>
      <c r="E32" s="343"/>
      <c r="F32" s="343"/>
      <c r="G32" s="343"/>
      <c r="H32" s="343"/>
      <c r="I32" s="343"/>
      <c r="J32" s="343"/>
      <c r="K32" s="343"/>
      <c r="L32" s="343"/>
      <c r="M32" s="343"/>
      <c r="N32" s="343"/>
      <c r="O32" s="343"/>
      <c r="P32" s="343"/>
      <c r="Q32" s="343"/>
      <c r="R32" s="343"/>
      <c r="S32" s="343"/>
      <c r="T32" s="343"/>
      <c r="U32" s="343"/>
      <c r="V32" s="343"/>
      <c r="W32" s="343"/>
      <c r="X32" s="343"/>
      <c r="Y32" s="343"/>
      <c r="Z32" s="343"/>
      <c r="AA32" s="343"/>
      <c r="AB32" s="343"/>
      <c r="AC32" s="343"/>
      <c r="AD32" s="343"/>
      <c r="AE32" s="343"/>
      <c r="AF32" s="343"/>
      <c r="AG32" s="343"/>
      <c r="AH32" s="343"/>
    </row>
    <row r="33" customFormat="false" ht="12.75" hidden="false" customHeight="false" outlineLevel="0" collapsed="false">
      <c r="A33" s="345" t="s">
        <v>262</v>
      </c>
      <c r="D33" s="343" t="n">
        <f aca="false">IF(AND(C19&lt;Assumptions!$J$51,IS!D19&lt;Assumptions!$J$51),D18*12*Assumptions!$J$52*Assumptions!$J$56,IF(AND(IS!C19&lt;Assumptions!$J$51,IS!D19&gt;Assumptions!$J$51),(D18)*12*Assumptions!$J$52*Assumptions!$J$56,0))</f>
        <v>8136.63123287671</v>
      </c>
      <c r="E33" s="343" t="n">
        <f aca="false">IF(AND(D19&lt;Assumptions!$J$51,IS!E19&lt;Assumptions!$J$51),E18*12*Assumptions!$J$52*Assumptions!$J$56,IF(AND(IS!D19&lt;Assumptions!$J$51,IS!E19&gt;Assumptions!$J$51),(E18)*12*Assumptions!$J$52*Assumptions!$J$56,0))</f>
        <v>12171.6</v>
      </c>
      <c r="F33" s="343" t="n">
        <f aca="false">IF(AND(E19&lt;Assumptions!$J$51,IS!F19&lt;Assumptions!$J$51),F18*12*Assumptions!$J$52*Assumptions!$J$56,IF(AND(IS!E19&lt;Assumptions!$J$51,IS!F19&gt;Assumptions!$J$51),(F18)*12*Assumptions!$J$52*Assumptions!$J$56,0))</f>
        <v>12171.6</v>
      </c>
      <c r="G33" s="343" t="n">
        <v>0</v>
      </c>
      <c r="H33" s="343" t="n">
        <v>0</v>
      </c>
      <c r="I33" s="343" t="n">
        <v>0</v>
      </c>
      <c r="J33" s="343" t="n">
        <v>0</v>
      </c>
      <c r="K33" s="343" t="n">
        <v>0</v>
      </c>
      <c r="L33" s="343" t="n">
        <v>0</v>
      </c>
      <c r="M33" s="343" t="n">
        <v>0</v>
      </c>
      <c r="N33" s="343" t="n">
        <v>0</v>
      </c>
      <c r="O33" s="343" t="n">
        <v>0</v>
      </c>
      <c r="P33" s="343" t="n">
        <v>0</v>
      </c>
      <c r="Q33" s="343" t="n">
        <v>0</v>
      </c>
      <c r="R33" s="343" t="n">
        <v>0</v>
      </c>
      <c r="S33" s="343" t="n">
        <v>0</v>
      </c>
      <c r="T33" s="343" t="n">
        <v>0</v>
      </c>
      <c r="U33" s="343" t="n">
        <v>0</v>
      </c>
      <c r="V33" s="343" t="n">
        <v>0</v>
      </c>
      <c r="W33" s="343" t="n">
        <v>0</v>
      </c>
      <c r="X33" s="343" t="n">
        <v>0</v>
      </c>
      <c r="Y33" s="343" t="n">
        <v>0</v>
      </c>
      <c r="Z33" s="343" t="n">
        <v>0</v>
      </c>
      <c r="AA33" s="343" t="n">
        <v>0</v>
      </c>
      <c r="AB33" s="343" t="n">
        <v>0</v>
      </c>
      <c r="AC33" s="343" t="n">
        <f aca="false">IF(AND(AB19&lt;=Assumptions!$J$51,IS!AC19&lt;=Assumptions!$J$51),AC18*12*Assumptions!$J$52*Assumptions!$J$56,IF(AND(IS!AB19&lt;=Assumptions!$J$51,IS!AC19&gt;Assumptions!$J$51),(AC18)*12*Assumptions!$J$52*Assumptions!$J$56,0))</f>
        <v>0</v>
      </c>
      <c r="AD33" s="343" t="n">
        <f aca="false">IF(AND(AC19&lt;=Assumptions!$J$51,IS!AD19&lt;=Assumptions!$J$51),AD18*12*Assumptions!$J$52*Assumptions!$J$56,IF(AND(IS!AC19&lt;=Assumptions!$J$51,IS!AD19&gt;Assumptions!$J$51),(AD18)*12*Assumptions!$J$52*Assumptions!$J$56,0))</f>
        <v>0</v>
      </c>
      <c r="AE33" s="343" t="n">
        <f aca="false">IF(AND(AD19&lt;=Assumptions!$J$51,IS!AE19&lt;=Assumptions!$J$51),AE18*12*Assumptions!$J$52*Assumptions!$J$56,IF(AND(IS!AD19&lt;=Assumptions!$J$51,IS!AE19&gt;Assumptions!$J$51),(AE18)*12*Assumptions!$J$52*Assumptions!$J$56,0))</f>
        <v>0</v>
      </c>
      <c r="AF33" s="343" t="n">
        <f aca="false">IF(AND(AE19&lt;=Assumptions!$J$51,IS!AF19&lt;=Assumptions!$J$51),AF18*12*Assumptions!$J$52*Assumptions!$J$56,IF(AND(IS!AE19&lt;=Assumptions!$J$51,IS!AF19&gt;Assumptions!$J$51),(AF18)*12*Assumptions!$J$52*Assumptions!$J$56,0))</f>
        <v>0</v>
      </c>
      <c r="AG33" s="343" t="n">
        <f aca="false">IF(AND(AF19&lt;=Assumptions!$J$51,IS!AG19&lt;=Assumptions!$J$51),AG18*12*Assumptions!$J$52*Assumptions!$J$56,IF(AND(IS!AF19&lt;=Assumptions!$J$51,IS!AG19&gt;Assumptions!$J$51),(AG18)*12*Assumptions!$J$52*Assumptions!$J$56,0))</f>
        <v>0</v>
      </c>
      <c r="AH33" s="343" t="n">
        <f aca="false">IF(AND(AG19&lt;=Assumptions!$J$51,IS!AH19&lt;=Assumptions!$J$51),AH18*12*Assumptions!$J$52*Assumptions!$J$56,IF(AND(IS!AG19&lt;=Assumptions!$J$51,IS!AH19&gt;Assumptions!$J$51),(AH18)*12*Assumptions!$J$52*Assumptions!$J$56,0))</f>
        <v>0</v>
      </c>
    </row>
    <row r="34" customFormat="false" ht="12.75" hidden="false" customHeight="false" outlineLevel="0" collapsed="false">
      <c r="A34" s="345" t="s">
        <v>263</v>
      </c>
      <c r="D34" s="346" t="n">
        <f aca="false">IF(AND(D19&lt;Assumptions!$J$51,IS!D19&lt;Assumptions!$J$51),(Assumptions!$J$53*Assumptions!$J$56*IS!D13)/1000,IF(AND(IS!C19&lt;Assumptions!$J$51,IS!D19&gt;Assumptions!$J$51),(Assumptions!$J$53*Assumptions!$J$56*IS!D13)/1000,0))</f>
        <v>710.01</v>
      </c>
      <c r="E34" s="346" t="n">
        <f aca="false">IF(AND(E19&lt;Assumptions!$J$51,IS!E19&lt;Assumptions!$J$51),(Assumptions!$J$53*Assumptions!$J$56*IS!E13)/1000,IF(AND(IS!D19&lt;Assumptions!$J$51,IS!E19&gt;Assumptions!$J$51),(Assumptions!$J$53*Assumptions!$J$56*IS!E13)/1000,0))</f>
        <v>710.01</v>
      </c>
      <c r="F34" s="346" t="n">
        <f aca="false">IF(AND(F19&lt;Assumptions!$J$51,IS!F19&lt;Assumptions!$J$51),(Assumptions!$J$53*Assumptions!$J$56*IS!F13)/1000,IF(AND(IS!E19&lt;Assumptions!$J$51,IS!F19&gt;Assumptions!$J$51),(Assumptions!$J$53*Assumptions!$J$56*IS!F13)/1000,0))</f>
        <v>710.01</v>
      </c>
      <c r="G34" s="346" t="n">
        <f aca="false">IF(AND(G19&lt;Assumptions!$J$51,IS!G19&lt;Assumptions!$J$51),(Assumptions!$J$53*Assumptions!$J$56*IS!G13)/1000,IF(AND(IS!F19&lt;Assumptions!$J$51,IS!G19&gt;Assumptions!$J$51),(Assumptions!$J$53*Assumptions!$J$56*IS!G13)/1000,0))</f>
        <v>0</v>
      </c>
      <c r="H34" s="346" t="n">
        <v>0</v>
      </c>
      <c r="I34" s="346" t="n">
        <v>0</v>
      </c>
      <c r="J34" s="346" t="n">
        <v>0</v>
      </c>
      <c r="K34" s="346" t="n">
        <v>0</v>
      </c>
      <c r="L34" s="346" t="n">
        <v>0</v>
      </c>
      <c r="M34" s="346" t="n">
        <v>0</v>
      </c>
      <c r="N34" s="346" t="n">
        <v>0</v>
      </c>
      <c r="O34" s="346" t="n">
        <v>0</v>
      </c>
      <c r="P34" s="346" t="n">
        <v>0</v>
      </c>
      <c r="Q34" s="346" t="n">
        <v>0</v>
      </c>
      <c r="R34" s="346" t="n">
        <v>0</v>
      </c>
      <c r="S34" s="346" t="n">
        <v>0</v>
      </c>
      <c r="T34" s="346" t="n">
        <v>0</v>
      </c>
      <c r="U34" s="346" t="n">
        <v>0</v>
      </c>
      <c r="V34" s="346" t="n">
        <v>0</v>
      </c>
      <c r="W34" s="346" t="n">
        <v>0</v>
      </c>
      <c r="X34" s="346" t="n">
        <v>0</v>
      </c>
      <c r="Y34" s="346" t="n">
        <v>0</v>
      </c>
      <c r="Z34" s="346" t="n">
        <v>0</v>
      </c>
      <c r="AA34" s="346" t="n">
        <v>0</v>
      </c>
      <c r="AB34" s="346" t="n">
        <v>0</v>
      </c>
      <c r="AC34" s="343" t="n">
        <f aca="false">IF(AND(AC19&lt;Assumptions!$J$51,IS!AB19&lt;Assumptions!$J$51),AB34*(1+Assumptions!$P$21),IF(AND(IS!AB19&lt;Assumptions!$J$51,IS!AC19&gt;Assumptions!$J$51),AB34*IS!$D$19*(1+Assumptions!$P$21),0))</f>
        <v>0</v>
      </c>
      <c r="AD34" s="343" t="n">
        <f aca="false">IF(AND(AD19&lt;Assumptions!$J$51,IS!AC19&lt;Assumptions!$J$51),AC34*(1+Assumptions!$P$21),IF(AND(IS!AC19&lt;Assumptions!$J$51,IS!AD19&gt;Assumptions!$J$51),AC34*IS!$D$19*(1+Assumptions!$P$21),0))</f>
        <v>0</v>
      </c>
      <c r="AE34" s="343" t="n">
        <f aca="false">IF(AND(AE19&lt;Assumptions!$J$51,IS!AD19&lt;Assumptions!$J$51),AD34*(1+Assumptions!$P$21),IF(AND(IS!AD19&lt;Assumptions!$J$51,IS!AE19&gt;Assumptions!$J$51),AD34*IS!$D$19*(1+Assumptions!$P$21),0))</f>
        <v>0</v>
      </c>
      <c r="AF34" s="343" t="n">
        <f aca="false">IF(AND(AF19&lt;Assumptions!$J$51,IS!AE19&lt;Assumptions!$J$51),AE34*(1+Assumptions!$P$21),IF(AND(IS!AE19&lt;Assumptions!$J$51,IS!AF19&gt;Assumptions!$J$51),AE34*IS!$D$19*(1+Assumptions!$P$21),0))</f>
        <v>0</v>
      </c>
      <c r="AG34" s="343" t="n">
        <f aca="false">IF(AND(AG19&lt;Assumptions!$J$51,IS!AF19&lt;Assumptions!$J$51),AF34*(1+Assumptions!$P$21),IF(AND(IS!AF19&lt;Assumptions!$J$51,IS!AG19&gt;Assumptions!$J$51),AF34*IS!$D$19*(1+Assumptions!$P$21),0))</f>
        <v>0</v>
      </c>
      <c r="AH34" s="343" t="n">
        <f aca="false">IF(AND(AH19&lt;Assumptions!$J$51,IS!AG19&lt;Assumptions!$J$51),AG34*(1+Assumptions!$P$21),IF(AND(IS!AG19&lt;Assumptions!$J$51,IS!AH19&gt;Assumptions!$J$51),AG34*IS!$D$19*(1+Assumptions!$P$21),0))</f>
        <v>0</v>
      </c>
    </row>
    <row r="35" customFormat="false" ht="12.75" hidden="false" customHeight="false" outlineLevel="0" collapsed="false">
      <c r="A35" s="345" t="s">
        <v>264</v>
      </c>
      <c r="D35" s="347" t="n">
        <v>0</v>
      </c>
      <c r="E35" s="347" t="n">
        <v>0</v>
      </c>
      <c r="F35" s="347" t="n">
        <v>0</v>
      </c>
      <c r="G35" s="347" t="n">
        <v>0</v>
      </c>
      <c r="H35" s="347" t="n">
        <v>0</v>
      </c>
      <c r="I35" s="347" t="n">
        <v>0</v>
      </c>
      <c r="J35" s="347" t="n">
        <v>0</v>
      </c>
      <c r="K35" s="347" t="n">
        <v>0</v>
      </c>
      <c r="L35" s="347" t="n">
        <v>0</v>
      </c>
      <c r="M35" s="347" t="n">
        <v>0</v>
      </c>
      <c r="N35" s="347" t="n">
        <v>0</v>
      </c>
      <c r="O35" s="347" t="n">
        <v>0</v>
      </c>
      <c r="P35" s="347" t="n">
        <v>0</v>
      </c>
      <c r="Q35" s="347" t="n">
        <v>0</v>
      </c>
      <c r="R35" s="347" t="n">
        <v>0</v>
      </c>
      <c r="S35" s="347" t="n">
        <v>0</v>
      </c>
      <c r="T35" s="347" t="n">
        <v>0</v>
      </c>
      <c r="U35" s="347" t="n">
        <v>0</v>
      </c>
      <c r="V35" s="347" t="n">
        <v>0</v>
      </c>
      <c r="W35" s="347" t="n">
        <v>0</v>
      </c>
      <c r="X35" s="347" t="n">
        <v>0</v>
      </c>
      <c r="Y35" s="347" t="n">
        <v>0</v>
      </c>
      <c r="Z35" s="347" t="n">
        <v>0</v>
      </c>
      <c r="AA35" s="347" t="n">
        <v>0</v>
      </c>
      <c r="AB35" s="347" t="n">
        <v>0</v>
      </c>
      <c r="AC35" s="347" t="n">
        <v>0</v>
      </c>
      <c r="AD35" s="347" t="n">
        <v>0</v>
      </c>
      <c r="AE35" s="347" t="n">
        <v>0</v>
      </c>
      <c r="AF35" s="347" t="n">
        <v>0</v>
      </c>
      <c r="AG35" s="347" t="n">
        <v>0</v>
      </c>
      <c r="AH35" s="347" t="n">
        <v>0</v>
      </c>
    </row>
    <row r="36" customFormat="false" ht="12.75" hidden="false" customHeight="false" outlineLevel="0" collapsed="false">
      <c r="A36" s="345" t="s">
        <v>265</v>
      </c>
      <c r="D36" s="347" t="n">
        <v>0</v>
      </c>
      <c r="E36" s="347" t="n">
        <v>0</v>
      </c>
      <c r="F36" s="347" t="n">
        <v>0</v>
      </c>
      <c r="G36" s="347" t="n">
        <v>0</v>
      </c>
      <c r="H36" s="347" t="n">
        <v>0</v>
      </c>
      <c r="I36" s="347" t="n">
        <v>0</v>
      </c>
      <c r="J36" s="347" t="n">
        <v>0</v>
      </c>
      <c r="K36" s="347" t="n">
        <v>0</v>
      </c>
      <c r="L36" s="347" t="n">
        <v>0</v>
      </c>
      <c r="M36" s="347" t="n">
        <v>0</v>
      </c>
      <c r="N36" s="347" t="n">
        <v>0</v>
      </c>
      <c r="O36" s="347" t="n">
        <v>0</v>
      </c>
      <c r="P36" s="347" t="n">
        <v>0</v>
      </c>
      <c r="Q36" s="347" t="n">
        <v>0</v>
      </c>
      <c r="R36" s="347" t="n">
        <v>0</v>
      </c>
      <c r="S36" s="347" t="n">
        <v>0</v>
      </c>
      <c r="T36" s="347" t="n">
        <v>0</v>
      </c>
      <c r="U36" s="347" t="n">
        <v>0</v>
      </c>
      <c r="V36" s="347" t="n">
        <v>0</v>
      </c>
      <c r="W36" s="347" t="n">
        <v>0</v>
      </c>
      <c r="X36" s="347" t="n">
        <v>0</v>
      </c>
      <c r="Y36" s="347" t="n">
        <v>0</v>
      </c>
      <c r="Z36" s="347" t="n">
        <v>0</v>
      </c>
      <c r="AA36" s="347" t="n">
        <v>0</v>
      </c>
      <c r="AB36" s="347" t="n">
        <v>0</v>
      </c>
      <c r="AC36" s="347" t="n">
        <v>0</v>
      </c>
      <c r="AD36" s="347" t="n">
        <v>0</v>
      </c>
      <c r="AE36" s="347" t="n">
        <v>0</v>
      </c>
      <c r="AF36" s="347" t="n">
        <v>0</v>
      </c>
      <c r="AG36" s="347" t="n">
        <v>0</v>
      </c>
      <c r="AH36" s="347" t="n">
        <v>0</v>
      </c>
    </row>
    <row r="37" customFormat="false" ht="12.75" hidden="false" customHeight="false" outlineLevel="0" collapsed="false">
      <c r="A37" s="345"/>
      <c r="B37" s="114"/>
      <c r="C37" s="114"/>
      <c r="D37" s="348"/>
      <c r="E37" s="348"/>
      <c r="F37" s="348"/>
      <c r="G37" s="348"/>
      <c r="H37" s="348"/>
      <c r="I37" s="348"/>
      <c r="J37" s="348"/>
      <c r="K37" s="348"/>
      <c r="L37" s="348"/>
      <c r="M37" s="348"/>
      <c r="N37" s="348"/>
      <c r="O37" s="348"/>
      <c r="P37" s="348"/>
      <c r="Q37" s="348"/>
      <c r="R37" s="348"/>
      <c r="S37" s="348"/>
      <c r="T37" s="348"/>
      <c r="U37" s="348"/>
      <c r="V37" s="348"/>
      <c r="W37" s="348"/>
      <c r="X37" s="348"/>
      <c r="Y37" s="348"/>
      <c r="Z37" s="348"/>
      <c r="AA37" s="348"/>
      <c r="AB37" s="348"/>
      <c r="AC37" s="348"/>
      <c r="AD37" s="348"/>
      <c r="AE37" s="348"/>
      <c r="AF37" s="348"/>
      <c r="AG37" s="348"/>
      <c r="AH37" s="348"/>
      <c r="AI37" s="114"/>
      <c r="AJ37" s="114"/>
      <c r="AK37" s="114"/>
      <c r="AL37" s="114"/>
      <c r="AM37" s="114"/>
      <c r="AN37" s="114"/>
      <c r="AO37" s="114"/>
      <c r="AP37" s="114"/>
      <c r="AQ37" s="114"/>
      <c r="AR37" s="114"/>
      <c r="AS37" s="114"/>
      <c r="AT37" s="114"/>
      <c r="AU37" s="114"/>
      <c r="AV37" s="114"/>
      <c r="AW37" s="114"/>
      <c r="AX37" s="114"/>
      <c r="AY37" s="114"/>
      <c r="AZ37" s="114"/>
      <c r="BA37" s="114"/>
      <c r="BB37" s="114"/>
      <c r="BC37" s="114"/>
      <c r="BD37" s="114"/>
      <c r="BE37" s="114"/>
      <c r="BF37" s="114"/>
      <c r="BG37" s="114"/>
      <c r="BH37" s="114"/>
      <c r="BI37" s="114"/>
      <c r="BJ37" s="114"/>
      <c r="BK37" s="114"/>
      <c r="BL37" s="114"/>
      <c r="BM37" s="114"/>
      <c r="BN37" s="114"/>
      <c r="BO37" s="114"/>
      <c r="BP37" s="114"/>
      <c r="BQ37" s="114"/>
      <c r="BR37" s="114"/>
      <c r="BS37" s="114"/>
      <c r="BT37" s="114"/>
      <c r="BU37" s="114"/>
      <c r="BV37" s="114"/>
      <c r="BW37" s="114"/>
      <c r="BX37" s="114"/>
      <c r="BY37" s="114"/>
      <c r="BZ37" s="114"/>
      <c r="CA37" s="114"/>
      <c r="CB37" s="114"/>
      <c r="CC37" s="114"/>
      <c r="CD37" s="114"/>
      <c r="CE37" s="114"/>
      <c r="CF37" s="114"/>
      <c r="CG37" s="114"/>
      <c r="CH37" s="114"/>
      <c r="CI37" s="114"/>
      <c r="CJ37" s="114"/>
      <c r="CK37" s="114"/>
      <c r="CL37" s="114"/>
      <c r="CM37" s="114"/>
      <c r="CN37" s="114"/>
      <c r="CO37" s="114"/>
      <c r="CP37" s="114"/>
      <c r="CQ37" s="114"/>
      <c r="CR37" s="114"/>
      <c r="CS37" s="114"/>
      <c r="CT37" s="114"/>
      <c r="CU37" s="114"/>
      <c r="CV37" s="114"/>
      <c r="CW37" s="114"/>
      <c r="CX37" s="114"/>
      <c r="CY37" s="114"/>
      <c r="CZ37" s="114"/>
      <c r="DA37" s="114"/>
      <c r="DB37" s="114"/>
      <c r="DC37" s="114"/>
      <c r="DD37" s="114"/>
      <c r="DE37" s="114"/>
      <c r="DF37" s="114"/>
      <c r="DG37" s="114"/>
      <c r="DH37" s="114"/>
      <c r="DI37" s="114"/>
      <c r="DJ37" s="114"/>
      <c r="DK37" s="114"/>
      <c r="DL37" s="114"/>
      <c r="DM37" s="114"/>
      <c r="DN37" s="114"/>
      <c r="DO37" s="114"/>
      <c r="DP37" s="114"/>
      <c r="DQ37" s="114"/>
      <c r="DR37" s="114"/>
      <c r="DS37" s="114"/>
      <c r="DT37" s="114"/>
      <c r="DU37" s="114"/>
      <c r="DV37" s="114"/>
      <c r="DW37" s="114"/>
      <c r="DX37" s="114"/>
      <c r="DY37" s="114"/>
      <c r="DZ37" s="114"/>
      <c r="EA37" s="114"/>
      <c r="EB37" s="114"/>
      <c r="EC37" s="114"/>
      <c r="ED37" s="114"/>
      <c r="EE37" s="114"/>
      <c r="EF37" s="114"/>
      <c r="EG37" s="114"/>
      <c r="EH37" s="114"/>
      <c r="EI37" s="114"/>
      <c r="EJ37" s="114"/>
      <c r="EK37" s="114"/>
      <c r="EL37" s="114"/>
      <c r="EM37" s="114"/>
      <c r="EN37" s="114"/>
      <c r="EO37" s="114"/>
      <c r="EP37" s="114"/>
      <c r="EQ37" s="114"/>
      <c r="ER37" s="114"/>
      <c r="ES37" s="114"/>
      <c r="ET37" s="114"/>
      <c r="EU37" s="114"/>
      <c r="EV37" s="114"/>
      <c r="EW37" s="114"/>
      <c r="EX37" s="114"/>
      <c r="EY37" s="114"/>
      <c r="EZ37" s="114"/>
      <c r="FA37" s="114"/>
      <c r="FB37" s="114"/>
      <c r="FC37" s="114"/>
      <c r="FD37" s="114"/>
      <c r="FE37" s="114"/>
      <c r="FF37" s="114"/>
      <c r="FG37" s="114"/>
      <c r="FH37" s="114"/>
      <c r="FI37" s="114"/>
      <c r="FJ37" s="114"/>
      <c r="FK37" s="114"/>
      <c r="FL37" s="114"/>
      <c r="FM37" s="114"/>
      <c r="FN37" s="114"/>
      <c r="FO37" s="114"/>
      <c r="FP37" s="114"/>
      <c r="FQ37" s="114"/>
      <c r="FR37" s="114"/>
      <c r="FS37" s="114"/>
      <c r="FT37" s="114"/>
      <c r="FU37" s="114"/>
      <c r="FV37" s="114"/>
      <c r="FW37" s="114"/>
      <c r="FX37" s="114"/>
      <c r="FY37" s="114"/>
      <c r="FZ37" s="114"/>
      <c r="GA37" s="114"/>
      <c r="GB37" s="114"/>
      <c r="GC37" s="114"/>
      <c r="GD37" s="114"/>
      <c r="GE37" s="114"/>
      <c r="GF37" s="114"/>
      <c r="GG37" s="114"/>
      <c r="GH37" s="114"/>
      <c r="GI37" s="114"/>
      <c r="GJ37" s="114"/>
      <c r="GK37" s="114"/>
      <c r="GL37" s="114"/>
      <c r="GM37" s="114"/>
      <c r="GN37" s="114"/>
      <c r="GO37" s="114"/>
      <c r="GP37" s="114"/>
      <c r="GQ37" s="114"/>
      <c r="GR37" s="114"/>
      <c r="GS37" s="114"/>
      <c r="GT37" s="114"/>
      <c r="GU37" s="114"/>
      <c r="GV37" s="114"/>
      <c r="GW37" s="114"/>
      <c r="GX37" s="114"/>
      <c r="GY37" s="114"/>
      <c r="GZ37" s="114"/>
      <c r="HA37" s="114"/>
      <c r="HB37" s="114"/>
      <c r="HC37" s="114"/>
      <c r="HD37" s="114"/>
      <c r="HE37" s="114"/>
      <c r="HF37" s="114"/>
      <c r="HG37" s="114"/>
      <c r="HH37" s="114"/>
      <c r="HI37" s="114"/>
      <c r="HJ37" s="114"/>
      <c r="HK37" s="114"/>
      <c r="HL37" s="114"/>
      <c r="HM37" s="114"/>
      <c r="HN37" s="114"/>
      <c r="HO37" s="114"/>
      <c r="HP37" s="114"/>
      <c r="HQ37" s="114"/>
      <c r="HR37" s="114"/>
      <c r="HS37" s="114"/>
      <c r="HT37" s="114"/>
      <c r="HU37" s="114"/>
      <c r="HV37" s="114"/>
      <c r="HW37" s="114"/>
      <c r="HX37" s="114"/>
      <c r="HY37" s="114"/>
      <c r="HZ37" s="114"/>
      <c r="IA37" s="114"/>
      <c r="IB37" s="114"/>
      <c r="IC37" s="114"/>
      <c r="ID37" s="114"/>
      <c r="IE37" s="114"/>
      <c r="IF37" s="114"/>
      <c r="IG37" s="114"/>
      <c r="IH37" s="114"/>
      <c r="II37" s="114"/>
      <c r="IJ37" s="114"/>
      <c r="IK37" s="114"/>
      <c r="IL37" s="114"/>
      <c r="IM37" s="114"/>
      <c r="IN37" s="114"/>
      <c r="IO37" s="114"/>
      <c r="IP37" s="114"/>
      <c r="IQ37" s="114"/>
      <c r="IR37" s="114"/>
      <c r="IS37" s="114"/>
      <c r="IT37" s="114"/>
      <c r="IU37" s="114"/>
      <c r="IV37" s="114"/>
      <c r="IW37" s="114"/>
    </row>
    <row r="38" customFormat="false" ht="12.75" hidden="false" customHeight="false" outlineLevel="0" collapsed="false">
      <c r="A38" s="349" t="str">
        <f aca="false">Assumptions!H62</f>
        <v>SANTEE COOPER Fixed Price Period</v>
      </c>
      <c r="B38" s="114"/>
      <c r="C38" s="114"/>
      <c r="D38" s="348"/>
      <c r="E38" s="348"/>
      <c r="F38" s="348"/>
      <c r="G38" s="348"/>
      <c r="H38" s="348"/>
      <c r="I38" s="348"/>
      <c r="J38" s="348"/>
      <c r="K38" s="348"/>
      <c r="L38" s="348"/>
      <c r="M38" s="348"/>
      <c r="N38" s="348"/>
      <c r="O38" s="348"/>
      <c r="P38" s="348"/>
      <c r="Q38" s="348"/>
      <c r="R38" s="348"/>
      <c r="S38" s="348"/>
      <c r="T38" s="348"/>
      <c r="U38" s="348"/>
      <c r="V38" s="348"/>
      <c r="W38" s="348"/>
      <c r="X38" s="348"/>
      <c r="Y38" s="348"/>
      <c r="Z38" s="348"/>
      <c r="AA38" s="348"/>
      <c r="AB38" s="348"/>
      <c r="AC38" s="348"/>
      <c r="AD38" s="348"/>
      <c r="AE38" s="348"/>
      <c r="AF38" s="348"/>
      <c r="AG38" s="348"/>
      <c r="AH38" s="348"/>
      <c r="AI38" s="114"/>
      <c r="AJ38" s="114"/>
      <c r="AK38" s="114"/>
      <c r="AL38" s="114"/>
      <c r="AM38" s="114"/>
      <c r="AN38" s="114"/>
      <c r="AO38" s="114"/>
      <c r="AP38" s="114"/>
      <c r="AQ38" s="114"/>
      <c r="AR38" s="114"/>
      <c r="AS38" s="114"/>
      <c r="AT38" s="114"/>
      <c r="AU38" s="114"/>
      <c r="AV38" s="114"/>
      <c r="AW38" s="114"/>
      <c r="AX38" s="114"/>
      <c r="AY38" s="114"/>
      <c r="AZ38" s="114"/>
      <c r="BA38" s="114"/>
      <c r="BB38" s="114"/>
      <c r="BC38" s="114"/>
      <c r="BD38" s="114"/>
      <c r="BE38" s="114"/>
      <c r="BF38" s="114"/>
      <c r="BG38" s="114"/>
      <c r="BH38" s="114"/>
      <c r="BI38" s="114"/>
      <c r="BJ38" s="114"/>
      <c r="BK38" s="114"/>
      <c r="BL38" s="114"/>
      <c r="BM38" s="114"/>
      <c r="BN38" s="114"/>
      <c r="BO38" s="114"/>
      <c r="BP38" s="114"/>
      <c r="BQ38" s="114"/>
      <c r="BR38" s="114"/>
      <c r="BS38" s="114"/>
      <c r="BT38" s="114"/>
      <c r="BU38" s="114"/>
      <c r="BV38" s="114"/>
      <c r="BW38" s="114"/>
      <c r="BX38" s="114"/>
      <c r="BY38" s="114"/>
      <c r="BZ38" s="114"/>
      <c r="CA38" s="114"/>
      <c r="CB38" s="114"/>
      <c r="CC38" s="114"/>
      <c r="CD38" s="114"/>
      <c r="CE38" s="114"/>
      <c r="CF38" s="114"/>
      <c r="CG38" s="114"/>
      <c r="CH38" s="114"/>
      <c r="CI38" s="114"/>
      <c r="CJ38" s="114"/>
      <c r="CK38" s="114"/>
      <c r="CL38" s="114"/>
      <c r="CM38" s="114"/>
      <c r="CN38" s="114"/>
      <c r="CO38" s="114"/>
      <c r="CP38" s="114"/>
      <c r="CQ38" s="114"/>
      <c r="CR38" s="114"/>
      <c r="CS38" s="114"/>
      <c r="CT38" s="114"/>
      <c r="CU38" s="114"/>
      <c r="CV38" s="114"/>
      <c r="CW38" s="114"/>
      <c r="CX38" s="114"/>
      <c r="CY38" s="114"/>
      <c r="CZ38" s="114"/>
      <c r="DA38" s="114"/>
      <c r="DB38" s="114"/>
      <c r="DC38" s="114"/>
      <c r="DD38" s="114"/>
      <c r="DE38" s="114"/>
      <c r="DF38" s="114"/>
      <c r="DG38" s="114"/>
      <c r="DH38" s="114"/>
      <c r="DI38" s="114"/>
      <c r="DJ38" s="114"/>
      <c r="DK38" s="114"/>
      <c r="DL38" s="114"/>
      <c r="DM38" s="114"/>
      <c r="DN38" s="114"/>
      <c r="DO38" s="114"/>
      <c r="DP38" s="114"/>
      <c r="DQ38" s="114"/>
      <c r="DR38" s="114"/>
      <c r="DS38" s="114"/>
      <c r="DT38" s="114"/>
      <c r="DU38" s="114"/>
      <c r="DV38" s="114"/>
      <c r="DW38" s="114"/>
      <c r="DX38" s="114"/>
      <c r="DY38" s="114"/>
      <c r="DZ38" s="114"/>
      <c r="EA38" s="114"/>
      <c r="EB38" s="114"/>
      <c r="EC38" s="114"/>
      <c r="ED38" s="114"/>
      <c r="EE38" s="114"/>
      <c r="EF38" s="114"/>
      <c r="EG38" s="114"/>
      <c r="EH38" s="114"/>
      <c r="EI38" s="114"/>
      <c r="EJ38" s="114"/>
      <c r="EK38" s="114"/>
      <c r="EL38" s="114"/>
      <c r="EM38" s="114"/>
      <c r="EN38" s="114"/>
      <c r="EO38" s="114"/>
      <c r="EP38" s="114"/>
      <c r="EQ38" s="114"/>
      <c r="ER38" s="114"/>
      <c r="ES38" s="114"/>
      <c r="ET38" s="114"/>
      <c r="EU38" s="114"/>
      <c r="EV38" s="114"/>
      <c r="EW38" s="114"/>
      <c r="EX38" s="114"/>
      <c r="EY38" s="114"/>
      <c r="EZ38" s="114"/>
      <c r="FA38" s="114"/>
      <c r="FB38" s="114"/>
      <c r="FC38" s="114"/>
      <c r="FD38" s="114"/>
      <c r="FE38" s="114"/>
      <c r="FF38" s="114"/>
      <c r="FG38" s="114"/>
      <c r="FH38" s="114"/>
      <c r="FI38" s="114"/>
      <c r="FJ38" s="114"/>
      <c r="FK38" s="114"/>
      <c r="FL38" s="114"/>
      <c r="FM38" s="114"/>
      <c r="FN38" s="114"/>
      <c r="FO38" s="114"/>
      <c r="FP38" s="114"/>
      <c r="FQ38" s="114"/>
      <c r="FR38" s="114"/>
      <c r="FS38" s="114"/>
      <c r="FT38" s="114"/>
      <c r="FU38" s="114"/>
      <c r="FV38" s="114"/>
      <c r="FW38" s="114"/>
      <c r="FX38" s="114"/>
      <c r="FY38" s="114"/>
      <c r="FZ38" s="114"/>
      <c r="GA38" s="114"/>
      <c r="GB38" s="114"/>
      <c r="GC38" s="114"/>
      <c r="GD38" s="114"/>
      <c r="GE38" s="114"/>
      <c r="GF38" s="114"/>
      <c r="GG38" s="114"/>
      <c r="GH38" s="114"/>
      <c r="GI38" s="114"/>
      <c r="GJ38" s="114"/>
      <c r="GK38" s="114"/>
      <c r="GL38" s="114"/>
      <c r="GM38" s="114"/>
      <c r="GN38" s="114"/>
      <c r="GO38" s="114"/>
      <c r="GP38" s="114"/>
      <c r="GQ38" s="114"/>
      <c r="GR38" s="114"/>
      <c r="GS38" s="114"/>
      <c r="GT38" s="114"/>
      <c r="GU38" s="114"/>
      <c r="GV38" s="114"/>
      <c r="GW38" s="114"/>
      <c r="GX38" s="114"/>
      <c r="GY38" s="114"/>
      <c r="GZ38" s="114"/>
      <c r="HA38" s="114"/>
      <c r="HB38" s="114"/>
      <c r="HC38" s="114"/>
      <c r="HD38" s="114"/>
      <c r="HE38" s="114"/>
      <c r="HF38" s="114"/>
      <c r="HG38" s="114"/>
      <c r="HH38" s="114"/>
      <c r="HI38" s="114"/>
      <c r="HJ38" s="114"/>
      <c r="HK38" s="114"/>
      <c r="HL38" s="114"/>
      <c r="HM38" s="114"/>
      <c r="HN38" s="114"/>
      <c r="HO38" s="114"/>
      <c r="HP38" s="114"/>
      <c r="HQ38" s="114"/>
      <c r="HR38" s="114"/>
      <c r="HS38" s="114"/>
      <c r="HT38" s="114"/>
      <c r="HU38" s="114"/>
      <c r="HV38" s="114"/>
      <c r="HW38" s="114"/>
      <c r="HX38" s="114"/>
      <c r="HY38" s="114"/>
      <c r="HZ38" s="114"/>
      <c r="IA38" s="114"/>
      <c r="IB38" s="114"/>
      <c r="IC38" s="114"/>
      <c r="ID38" s="114"/>
      <c r="IE38" s="114"/>
      <c r="IF38" s="114"/>
      <c r="IG38" s="114"/>
      <c r="IH38" s="114"/>
      <c r="II38" s="114"/>
      <c r="IJ38" s="114"/>
      <c r="IK38" s="114"/>
      <c r="IL38" s="114"/>
      <c r="IM38" s="114"/>
      <c r="IN38" s="114"/>
      <c r="IO38" s="114"/>
      <c r="IP38" s="114"/>
      <c r="IQ38" s="114"/>
      <c r="IR38" s="114"/>
      <c r="IS38" s="114"/>
      <c r="IT38" s="114"/>
      <c r="IU38" s="114"/>
      <c r="IV38" s="114"/>
      <c r="IW38" s="114"/>
    </row>
    <row r="39" customFormat="false" ht="12.75" hidden="false" customHeight="false" outlineLevel="0" collapsed="false">
      <c r="A39" s="345" t="s">
        <v>262</v>
      </c>
      <c r="D39" s="343" t="n">
        <f aca="false">IF(AND(C23&lt;Assumptions!$J$63,IS!D23&lt;=Assumptions!$J$63),D22*12*Assumptions!$J$64*Assumptions!$J$56,IF(AND(IS!C23&lt;Assumptions!$J$63,IS!D23&gt;Assumptions!$J$63),(D22)*12*Assumptions!$J$64*Assumptions!$J$68,0))</f>
        <v>0</v>
      </c>
      <c r="E39" s="343" t="n">
        <f aca="false">IF(AND(D23&lt;Assumptions!$J$63,IS!E23&lt;=Assumptions!$J$63),E22*12*Assumptions!$J$64*Assumptions!$J$56,IF(AND(IS!D23&lt;Assumptions!$J$63,IS!E23&gt;Assumptions!$J$63),(E22)*12*Assumptions!$J$64*Assumptions!$J$68,0))</f>
        <v>0</v>
      </c>
      <c r="F39" s="343" t="n">
        <f aca="false">IF(AND(E23&lt;Assumptions!$J$63,IS!F23&lt;=Assumptions!$J$63),F22*12*Assumptions!$J$64*Assumptions!$J$56,IF(AND(IS!E23&lt;Assumptions!$J$63,IS!F23&gt;Assumptions!$J$63),(F22)*12*Assumptions!$J$64*Assumptions!$J$68,0))</f>
        <v>0</v>
      </c>
      <c r="G39" s="343" t="n">
        <f aca="false">IF(AND(F23&lt;Assumptions!$J$63,IS!G23&lt;=Assumptions!$J$63),G22*12*Assumptions!$J$64*Assumptions!$J$56,IF(AND(IS!F23&lt;Assumptions!$J$63,IS!G23&gt;Assumptions!$J$63),(G22)*12*Assumptions!$J$64*Assumptions!$J$68,0))</f>
        <v>12171.6</v>
      </c>
      <c r="H39" s="343" t="n">
        <f aca="false">IF(AND(G23&lt;Assumptions!$J$63,IS!H23&lt;=Assumptions!$J$63),H22*12*Assumptions!$J$64*Assumptions!$J$56,IF(AND(IS!G23&lt;Assumptions!$J$63,IS!H23&gt;Assumptions!$J$63),(H22)*12*Assumptions!$J$64*Assumptions!$J$68,0))</f>
        <v>12171.6</v>
      </c>
      <c r="I39" s="343" t="n">
        <f aca="false">IF(AND(H23&lt;Assumptions!$J$63,IS!I23&lt;=Assumptions!$J$63),I22*12*Assumptions!$J$64*Assumptions!$J$56,IF(AND(IS!H23&lt;Assumptions!$J$63,IS!I23&gt;Assumptions!$J$63),(I22)*12*Assumptions!$J$64*Assumptions!$J$68,0))</f>
        <v>12171.6</v>
      </c>
      <c r="J39" s="343" t="n">
        <f aca="false">IF(AND(I23&lt;Assumptions!$J$63,IS!J23&lt;=Assumptions!$J$63),J22*12*Assumptions!$J$64*Assumptions!$J$56,IF(AND(IS!I23&lt;Assumptions!$J$63,IS!J23&gt;Assumptions!$J$63),(J22)*12*Assumptions!$J$64*Assumptions!$J$68,0))</f>
        <v>12171.6</v>
      </c>
      <c r="K39" s="343" t="n">
        <f aca="false">IF(AND(J23&lt;Assumptions!$J$63,IS!K23&lt;=Assumptions!$J$63),K22*12*Assumptions!$J$64*Assumptions!$J$56,IF(AND(IS!J23&lt;Assumptions!$J$63,IS!K23&gt;Assumptions!$J$63),(K22)*12*Assumptions!$J$64*Assumptions!$J$68,0))</f>
        <v>12171.6</v>
      </c>
      <c r="L39" s="343" t="n">
        <f aca="false">IF(AND(K23&lt;Assumptions!$J$63,IS!L23&lt;=Assumptions!$J$63),L22*12*Assumptions!$J$64*Assumptions!$J$56,IF(AND(IS!K23&lt;Assumptions!$J$63,IS!L23&gt;Assumptions!$J$63),(L22)*12*Assumptions!$J$64*Assumptions!$J$68,0))</f>
        <v>12171.6</v>
      </c>
      <c r="M39" s="343" t="n">
        <f aca="false">IF(AND(L23&lt;Assumptions!$J$63,IS!M23&lt;=Assumptions!$J$63),M22*12*Assumptions!$J$64*Assumptions!$J$56,IF(AND(IS!L23&lt;Assumptions!$J$63,IS!M23&gt;Assumptions!$J$63),(M22)*12*Assumptions!$J$64*Assumptions!$J$68,0))</f>
        <v>12171.6</v>
      </c>
      <c r="N39" s="343" t="n">
        <f aca="false">IF(AND(M23&lt;Assumptions!$J$63,IS!N23&lt;=Assumptions!$J$63),N22*12*Assumptions!$J$64*Assumptions!$J$56,IF(AND(IS!M23&lt;Assumptions!$J$63,IS!N23&gt;Assumptions!$J$63),(N22)*12*Assumptions!$J$64*Assumptions!$J$68,0))</f>
        <v>12171.6</v>
      </c>
      <c r="O39" s="343" t="n">
        <f aca="false">IF(AND(N23&lt;Assumptions!$J$63,IS!O23&lt;=Assumptions!$J$63),O22*12*Assumptions!$J$64*Assumptions!$J$56,IF(AND(IS!N23&lt;Assumptions!$J$63,IS!O23&gt;Assumptions!$J$63),(O22)*12*Assumptions!$J$64*Assumptions!$J$68,0))</f>
        <v>12171.6</v>
      </c>
      <c r="P39" s="343" t="n">
        <f aca="false">IF(AND(O23&lt;Assumptions!$J$63,IS!P23&lt;=Assumptions!$J$63),P22*12*Assumptions!$J$64*Assumptions!$J$56,IF(AND(IS!O23&lt;Assumptions!$J$63,IS!P23&gt;Assumptions!$J$63),(P22)*12*Assumptions!$J$64*Assumptions!$J$68,0))</f>
        <v>12171.6</v>
      </c>
      <c r="Q39" s="343" t="n">
        <f aca="false">IF(AND(P23&lt;Assumptions!$J$63,IS!Q23&lt;=Assumptions!$J$63),Q22*12*Assumptions!$J$64*Assumptions!$J$56,IF(AND(IS!P23&lt;Assumptions!$J$63,IS!Q23&gt;Assumptions!$J$63),(Q22)*12*Assumptions!$J$64*Assumptions!$J$68,0))</f>
        <v>12171.6</v>
      </c>
      <c r="R39" s="343" t="n">
        <f aca="false">IF(AND(Q23&lt;Assumptions!$J$63,IS!R23&lt;=Assumptions!$J$63),R22*12*Assumptions!$J$64*Assumptions!$J$56,IF(AND(IS!Q23&lt;Assumptions!$J$63,IS!R23&gt;Assumptions!$J$63),(R22)*12*Assumptions!$J$64*Assumptions!$J$68,0))</f>
        <v>12171.6</v>
      </c>
      <c r="S39" s="343" t="n">
        <f aca="false">IF(AND(R23&lt;Assumptions!$J$63,IS!S23&lt;=Assumptions!$J$63),S22*12*Assumptions!$J$64*Assumptions!$J$56,IF(AND(IS!R23&lt;Assumptions!$J$63,IS!S23&gt;Assumptions!$J$63),(S22)*12*Assumptions!$J$64*Assumptions!$J$68,0))</f>
        <v>12171.6</v>
      </c>
      <c r="T39" s="343" t="n">
        <f aca="false">IF(AND(S23&lt;Assumptions!$J$63,IS!T23&lt;=Assumptions!$J$63),T22*12*Assumptions!$J$64*Assumptions!$J$56,IF(AND(IS!S23&lt;Assumptions!$J$63,IS!T23&gt;Assumptions!$J$63),(T22)*12*Assumptions!$J$64*Assumptions!$J$68,0))</f>
        <v>12171.6</v>
      </c>
      <c r="U39" s="343" t="n">
        <f aca="false">IF(AND(T23&lt;Assumptions!$J$63,IS!U23&lt;=Assumptions!$J$63),U22*12*Assumptions!$J$64*Assumptions!$J$56,IF(AND(IS!T23&lt;Assumptions!$J$63,IS!U23&gt;Assumptions!$J$63),(U22)*12*Assumptions!$J$64*Assumptions!$J$68,0))</f>
        <v>12171.6</v>
      </c>
      <c r="V39" s="343" t="n">
        <f aca="false">IF(AND(U23&lt;Assumptions!$J$63,IS!V23&lt;=Assumptions!$J$63),V22*12*Assumptions!$J$64*Assumptions!$J$56,IF(AND(IS!U23&lt;Assumptions!$J$63,IS!V23&gt;Assumptions!$J$63),(V22)*12*Assumptions!$J$64*Assumptions!$J$68,0))</f>
        <v>0</v>
      </c>
      <c r="W39" s="343" t="n">
        <f aca="false">IF(AND(V23&lt;Assumptions!$J$63,IS!W23&lt;=Assumptions!$J$63),W22*12*Assumptions!$J$64*Assumptions!$J$56,IF(AND(IS!V23&lt;Assumptions!$J$63,IS!W23&gt;Assumptions!$J$63),(W22)*12*Assumptions!$J$64*Assumptions!$J$68,0))</f>
        <v>0</v>
      </c>
      <c r="X39" s="343" t="n">
        <f aca="false">IF(AND(W23&lt;Assumptions!$J$63,IS!X23&lt;=Assumptions!$J$63),X22*12*Assumptions!$J$64*Assumptions!$J$56,IF(AND(IS!W23&lt;Assumptions!$J$63,IS!X23&gt;Assumptions!$J$63),(X22)*12*Assumptions!$J$64*Assumptions!$J$68,0))</f>
        <v>0</v>
      </c>
      <c r="Y39" s="343" t="n">
        <f aca="false">IF(AND(X23&lt;Assumptions!$J$63,IS!Y23&lt;=Assumptions!$J$63),Y22*12*Assumptions!$J$64*Assumptions!$J$56,IF(AND(IS!X23&lt;Assumptions!$J$63,IS!Y23&gt;Assumptions!$J$63),(Y22)*12*Assumptions!$J$64*Assumptions!$J$68,0))</f>
        <v>0</v>
      </c>
      <c r="Z39" s="343" t="n">
        <f aca="false">IF(AND(Y23&lt;Assumptions!$J$63,IS!Z23&lt;=Assumptions!$J$63),Z22*12*Assumptions!$J$64*Assumptions!$J$56,IF(AND(IS!Y23&lt;Assumptions!$J$63,IS!Z23&gt;Assumptions!$J$63),(Z22)*12*Assumptions!$J$64*Assumptions!$J$68,0))</f>
        <v>0</v>
      </c>
      <c r="AA39" s="343" t="n">
        <f aca="false">IF(AND(Z23&lt;Assumptions!$J$63,IS!AA23&lt;=Assumptions!$J$63),AA22*12*Assumptions!$J$64*Assumptions!$J$56,IF(AND(IS!Z23&lt;Assumptions!$J$63,IS!AA23&gt;Assumptions!$J$63),(AA22)*12*Assumptions!$J$64*Assumptions!$J$68,0))</f>
        <v>0</v>
      </c>
      <c r="AB39" s="343" t="n">
        <f aca="false">IF(AND(AA23&lt;Assumptions!$J$63,IS!AB23&lt;=Assumptions!$J$63),AB22*12*Assumptions!$J$64*Assumptions!$J$56,IF(AND(IS!AA23&lt;Assumptions!$J$63,IS!AB23&gt;Assumptions!$J$63),(AB22)*12*Assumptions!$J$64*Assumptions!$J$68,0))</f>
        <v>0</v>
      </c>
      <c r="AC39" s="343" t="n">
        <f aca="false">IF(AND(AB23&lt;Assumptions!$J$63,IS!AC23&lt;=Assumptions!$J$63),AC22*12*Assumptions!$J$64*Assumptions!$J$56,IF(AND(IS!AB23&lt;Assumptions!$J$63,IS!AC23&gt;Assumptions!$J$63),(AC22)*12*Assumptions!$J$64*Assumptions!$J$68,0))</f>
        <v>0</v>
      </c>
      <c r="AD39" s="343" t="n">
        <f aca="false">IF(AND(AC23&lt;Assumptions!$J$63,IS!AD23&lt;=Assumptions!$J$63),AD22*12*Assumptions!$J$64*Assumptions!$J$56,IF(AND(IS!AC23&lt;Assumptions!$J$63,IS!AD23&gt;Assumptions!$J$63),(AD22)*12*Assumptions!$J$64*Assumptions!$J$68,0))</f>
        <v>0</v>
      </c>
      <c r="AE39" s="343" t="n">
        <f aca="false">IF(AND(AD23&lt;Assumptions!$J$63,IS!AE23&lt;=Assumptions!$J$63),AE22*12*Assumptions!$J$64*Assumptions!$J$56,IF(AND(IS!AD23&lt;Assumptions!$J$63,IS!AE23&gt;Assumptions!$J$63),(AE22)*12*Assumptions!$J$64*Assumptions!$J$68,0))</f>
        <v>0</v>
      </c>
      <c r="AF39" s="343" t="n">
        <f aca="false">IF(AND(AE23&lt;Assumptions!$J$63,IS!AF23&lt;=Assumptions!$J$63),AF22*12*Assumptions!$J$64*Assumptions!$J$56,IF(AND(IS!AE23&lt;Assumptions!$J$63,IS!AF23&gt;Assumptions!$J$63),(AF22)*12*Assumptions!$J$64*Assumptions!$J$68,0))</f>
        <v>0</v>
      </c>
      <c r="AG39" s="343" t="n">
        <f aca="false">IF(AND(AF23&lt;Assumptions!$J$63,IS!AG23&lt;=Assumptions!$J$63),AG22*12*Assumptions!$J$64*Assumptions!$J$56,IF(AND(IS!AF23&lt;Assumptions!$J$63,IS!AG23&gt;Assumptions!$J$63),(AG22)*12*Assumptions!$J$64*Assumptions!$J$68,0))</f>
        <v>0</v>
      </c>
      <c r="AH39" s="343" t="n">
        <f aca="false">IF(AND(AG23&lt;Assumptions!$J$63,IS!AH23&lt;=Assumptions!$J$63),AH22*12*Assumptions!$J$64*Assumptions!$J$56,IF(AND(IS!AG23&lt;Assumptions!$J$63,IS!AH23&gt;Assumptions!$J$63),(AH22)*12*Assumptions!$J$64*Assumptions!$J$68,0))</f>
        <v>0</v>
      </c>
    </row>
    <row r="40" customFormat="false" ht="12.75" hidden="false" customHeight="false" outlineLevel="0" collapsed="false">
      <c r="A40" s="345" t="s">
        <v>263</v>
      </c>
      <c r="D40" s="346"/>
      <c r="E40" s="346"/>
      <c r="F40" s="346"/>
      <c r="G40" s="346" t="n">
        <f aca="false">+F34*(1+Assumptions!$P$21)</f>
        <v>710.01</v>
      </c>
      <c r="H40" s="343" t="n">
        <f aca="false">IF(AND(H23&lt;=Assumptions!$J$63,IS!G23&lt;=Assumptions!$J$63),G40*(1+Assumptions!$P$21),IF(AND(IS!G23&lt;=Assumptions!$J$63,IS!H23&gt;=Assumptions!$J$63),G40*(IS!H$23-IS!G$23)*(1+Assumptions!$P$21),0))</f>
        <v>710.01</v>
      </c>
      <c r="I40" s="343" t="n">
        <f aca="false">IF(AND(I23&lt;=Assumptions!$J$63,IS!H23&lt;=Assumptions!$J$63),H40*(1+Assumptions!$P$21),IF(AND(IS!H23&lt;=Assumptions!$J$63,IS!I23&gt;=Assumptions!$J$63),H40*(IS!I$23-IS!H$23)*(1+Assumptions!$P$21),0))</f>
        <v>710.01</v>
      </c>
      <c r="J40" s="343" t="n">
        <f aca="false">IF(AND(J23&lt;=Assumptions!$J$63,IS!I23&lt;=Assumptions!$J$63),I40*(1+Assumptions!$P$21),IF(AND(IS!I23&lt;=Assumptions!$J$63,IS!J23&gt;=Assumptions!$J$63),I40*(IS!J$23-IS!I$23)*(1+Assumptions!$P$21),0))</f>
        <v>710.01</v>
      </c>
      <c r="K40" s="343" t="n">
        <f aca="false">IF(AND(K23&lt;=Assumptions!$J$63,IS!J23&lt;=Assumptions!$J$63),J40*(1+Assumptions!$P$21),IF(AND(IS!J23&lt;=Assumptions!$J$63,IS!K23&gt;=Assumptions!$J$63),J40*(IS!K$23-IS!J$23)*(1+Assumptions!$P$21),0))</f>
        <v>710.01</v>
      </c>
      <c r="L40" s="343" t="n">
        <f aca="false">IF(AND(L23&lt;=Assumptions!$J$63,IS!K23&lt;=Assumptions!$J$63),K40*(1+Assumptions!$P$21),IF(AND(IS!K23&lt;=Assumptions!$J$63,IS!L23&gt;=Assumptions!$J$63),K40*(IS!L$23-IS!K$23)*(1+Assumptions!$P$21),0))</f>
        <v>710.01</v>
      </c>
      <c r="M40" s="343" t="n">
        <f aca="false">IF(AND(M23&lt;=Assumptions!$J$63,IS!L23&lt;=Assumptions!$J$63),L40*(1+Assumptions!$P$21),IF(AND(IS!L23&lt;=Assumptions!$J$63,IS!M23&gt;=Assumptions!$J$63),L40*(IS!M$23-IS!L$23)*(1+Assumptions!$P$21),0))</f>
        <v>710.01</v>
      </c>
      <c r="N40" s="343" t="n">
        <f aca="false">IF(AND(N23&lt;=Assumptions!$J$63,IS!M23&lt;=Assumptions!$J$63),M40*(1+Assumptions!$P$21),IF(AND(IS!M23&lt;=Assumptions!$J$63,IS!N23&gt;=Assumptions!$J$63),M40*(IS!N$23-IS!M$23)*(1+Assumptions!$P$21),0))</f>
        <v>710.01</v>
      </c>
      <c r="O40" s="343" t="n">
        <f aca="false">IF(AND(O23&lt;=Assumptions!$J$63,IS!N23&lt;=Assumptions!$J$63),N40*(1+Assumptions!$P$21),IF(AND(IS!N23&lt;=Assumptions!$J$63,IS!O23&gt;=Assumptions!$J$63),N40*(IS!O$23-IS!N$23)*(1+Assumptions!$P$21),0))</f>
        <v>710.01</v>
      </c>
      <c r="P40" s="343" t="n">
        <f aca="false">IF(AND(P23&lt;=Assumptions!$J$63,IS!O23&lt;=Assumptions!$J$63),O40*(1+Assumptions!$P$21),IF(AND(IS!O23&lt;=Assumptions!$J$63,IS!P23&gt;=Assumptions!$J$63),O40*(IS!P$23-IS!O$23)*(1+Assumptions!$P$21),0))</f>
        <v>710.01</v>
      </c>
      <c r="Q40" s="343" t="n">
        <f aca="false">IF(AND(Q23&lt;=Assumptions!$J$63,IS!P23&lt;=Assumptions!$J$63),P40*(1+Assumptions!$P$21),IF(AND(IS!P23&lt;=Assumptions!$J$63,IS!Q23&gt;=Assumptions!$J$63),P40*(IS!Q$23-IS!P$23)*(1+Assumptions!$P$21),0))</f>
        <v>710.01</v>
      </c>
      <c r="R40" s="343" t="n">
        <f aca="false">IF(AND(R23&lt;=Assumptions!$J$63,IS!Q23&lt;=Assumptions!$J$63),Q40*(1+Assumptions!$P$21),IF(AND(IS!Q23&lt;=Assumptions!$J$63,IS!R23&gt;=Assumptions!$J$63),Q40*(IS!R$23-IS!Q$23)*(1+Assumptions!$P$21),0))</f>
        <v>710.01</v>
      </c>
      <c r="S40" s="343" t="n">
        <f aca="false">IF(AND(S23&lt;=Assumptions!$J$63,IS!R23&lt;=Assumptions!$J$63),R40*(1+Assumptions!$P$21),IF(AND(IS!R23&lt;=Assumptions!$J$63,IS!S23&gt;=Assumptions!$J$63),R40*(IS!S$23-IS!R$23)*(1+Assumptions!$P$21),0))</f>
        <v>710.01</v>
      </c>
      <c r="T40" s="343" t="n">
        <f aca="false">IF(AND(T23&lt;=Assumptions!$J$63,IS!S23&lt;=Assumptions!$J$63),S40*(1+Assumptions!$P$21),IF(AND(IS!S23&lt;=Assumptions!$J$63,IS!T23&gt;=Assumptions!$J$63),S40*(IS!T$23-IS!S$23)*(1+Assumptions!$P$21),0))</f>
        <v>710.01</v>
      </c>
      <c r="U40" s="343" t="n">
        <f aca="false">IF(AND(U23&lt;=Assumptions!$J$63,IS!T23&lt;=Assumptions!$J$63),T40*(1+Assumptions!$P$21),IF(AND(IS!T23&lt;=Assumptions!$J$63,IS!U23&gt;=Assumptions!$J$63),T40*(IS!U$23-IS!T$23)*(1+Assumptions!$P$21),0))</f>
        <v>710.01</v>
      </c>
      <c r="V40" s="343" t="n">
        <f aca="false">IF(AND(V23&lt;Assumptions!$J$63,IS!U23&lt;Assumptions!$J$63),U40*(1+Assumptions!$P$21),IF(AND(IS!U23&lt;Assumptions!$J$63,IS!V23&gt;Assumptions!$J$63),U40*(IS!V$23-IS!U$23)*(1+Assumptions!$P$21),0))</f>
        <v>0</v>
      </c>
      <c r="W40" s="343" t="n">
        <f aca="false">IF(AND(W23&lt;Assumptions!$J$63,IS!V23&lt;Assumptions!$J$63),V40*(1+Assumptions!$P$21),IF(AND(IS!V23&lt;Assumptions!$J$63,IS!W23&gt;Assumptions!$J$63),V40*(IS!W$23-IS!V$23)*(1+Assumptions!$P$21),0))</f>
        <v>0</v>
      </c>
      <c r="X40" s="343" t="n">
        <f aca="false">IF(AND(X23&lt;Assumptions!$J$63,IS!W23&lt;Assumptions!$J$63),W40*(1+Assumptions!$P$21),IF(AND(IS!W23&lt;Assumptions!$J$63,IS!X23&gt;Assumptions!$J$63),W40*(IS!X$23-IS!W$23)*(1+Assumptions!$P$21),0))</f>
        <v>0</v>
      </c>
      <c r="Y40" s="343" t="n">
        <f aca="false">IF(AND(Y23&lt;Assumptions!$J$63,IS!X23&lt;Assumptions!$J$63),X40*(1+Assumptions!$P$21),IF(AND(IS!X23&lt;Assumptions!$J$63,IS!Y23&gt;Assumptions!$J$63),X40*(IS!Y$23-IS!X$23)*(1+Assumptions!$P$21),0))</f>
        <v>0</v>
      </c>
      <c r="Z40" s="343" t="n">
        <f aca="false">IF(AND(Z23&lt;Assumptions!$J$63,IS!Y23&lt;Assumptions!$J$63),Y40*(1+Assumptions!$P$21),IF(AND(IS!Y23&lt;Assumptions!$J$63,IS!Z23&gt;Assumptions!$J$63),Y40*(IS!Z$23-IS!Y$23)*(1+Assumptions!$P$21),0))</f>
        <v>0</v>
      </c>
      <c r="AA40" s="343" t="n">
        <f aca="false">IF(AND(AA23&lt;Assumptions!$J$63,IS!Z23&lt;Assumptions!$J$63),Z40*(1+Assumptions!$P$21),IF(AND(IS!Z23&lt;Assumptions!$J$63,IS!AA23&gt;Assumptions!$J$63),Z40*(IS!AA$23-IS!Z$23)*(1+Assumptions!$P$21),0))</f>
        <v>0</v>
      </c>
      <c r="AB40" s="343" t="n">
        <f aca="false">IF(AND(AB23&lt;Assumptions!$J$63,IS!AA23&lt;Assumptions!$J$63),AA40*(1+Assumptions!$P$21),IF(AND(IS!AA23&lt;Assumptions!$J$63,IS!AB23&gt;Assumptions!$J$63),AA40*(IS!AB$23-IS!AA$23)*(1+Assumptions!$P$21),0))</f>
        <v>0</v>
      </c>
      <c r="AC40" s="343" t="n">
        <f aca="false">IF(AND(AC23&lt;Assumptions!$J$63,IS!AB23&lt;Assumptions!$J$63),AB40*(1+Assumptions!$P$21),IF(AND(IS!AB23&lt;Assumptions!$J$63,IS!AC23&gt;Assumptions!$J$63),AB40*(IS!AC$23-IS!AB$23)*(1+Assumptions!$P$21),0))</f>
        <v>0</v>
      </c>
      <c r="AD40" s="343" t="n">
        <f aca="false">IF(AND(AD23&lt;Assumptions!$J$63,IS!AC23&lt;Assumptions!$J$63),AC40*(1+Assumptions!$P$21),IF(AND(IS!AC23&lt;Assumptions!$J$63,IS!AD23&gt;Assumptions!$J$63),AC40*(IS!AD$23-IS!AC$23)*(1+Assumptions!$P$21),0))</f>
        <v>0</v>
      </c>
      <c r="AE40" s="343" t="n">
        <f aca="false">IF(AND(AE23&lt;Assumptions!$J$63,IS!AD23&lt;Assumptions!$J$63),AD40*(1+Assumptions!$P$21),IF(AND(IS!AD23&lt;Assumptions!$J$63,IS!AE23&gt;Assumptions!$J$63),AD40*(IS!AE$23-IS!AD$23)*(1+Assumptions!$P$21),0))</f>
        <v>0</v>
      </c>
      <c r="AF40" s="343" t="n">
        <f aca="false">IF(AND(AF23&lt;Assumptions!$J$63,IS!AE23&lt;Assumptions!$J$63),AE40*(1+Assumptions!$P$21),IF(AND(IS!AE23&lt;Assumptions!$J$63,IS!AF23&gt;Assumptions!$J$63),AE40*(IS!AF$23-IS!AE$23)*(1+Assumptions!$P$21),0))</f>
        <v>0</v>
      </c>
      <c r="AG40" s="343" t="n">
        <f aca="false">IF(AND(AG23&lt;Assumptions!$J$63,IS!AF23&lt;Assumptions!$J$63),AF40*(1+Assumptions!$P$21),IF(AND(IS!AF23&lt;Assumptions!$J$63,IS!AG23&gt;Assumptions!$J$63),AF40*(IS!AG$23-IS!AF$23)*(1+Assumptions!$P$21),0))</f>
        <v>0</v>
      </c>
      <c r="AH40" s="343" t="n">
        <f aca="false">IF(AND(AH23&lt;Assumptions!$J$63,IS!AG23&lt;Assumptions!$J$63),AG40*(1+Assumptions!$P$21),IF(AND(IS!AG23&lt;Assumptions!$J$63,IS!AH23&gt;Assumptions!$J$63),AG40*(IS!AH$23-IS!AG$23)*(1+Assumptions!$P$21),0))</f>
        <v>0</v>
      </c>
    </row>
    <row r="41" customFormat="false" ht="12.75" hidden="false" customHeight="false" outlineLevel="0" collapsed="false">
      <c r="A41" s="345" t="s">
        <v>264</v>
      </c>
      <c r="D41" s="347" t="n">
        <v>0</v>
      </c>
      <c r="E41" s="347" t="n">
        <v>0</v>
      </c>
      <c r="F41" s="347" t="n">
        <v>0</v>
      </c>
      <c r="G41" s="347" t="n">
        <v>0</v>
      </c>
      <c r="H41" s="347" t="n">
        <v>0</v>
      </c>
      <c r="I41" s="347" t="n">
        <v>0</v>
      </c>
      <c r="J41" s="347" t="n">
        <v>0</v>
      </c>
      <c r="K41" s="347" t="n">
        <v>0</v>
      </c>
      <c r="L41" s="347" t="n">
        <v>0</v>
      </c>
      <c r="M41" s="347" t="n">
        <v>0</v>
      </c>
      <c r="N41" s="347" t="n">
        <v>0</v>
      </c>
      <c r="O41" s="347" t="n">
        <v>0</v>
      </c>
      <c r="P41" s="347" t="n">
        <v>0</v>
      </c>
      <c r="Q41" s="347" t="n">
        <v>0</v>
      </c>
      <c r="R41" s="347" t="n">
        <v>0</v>
      </c>
      <c r="S41" s="347" t="n">
        <v>0</v>
      </c>
      <c r="T41" s="347" t="n">
        <v>0</v>
      </c>
      <c r="U41" s="347" t="n">
        <v>0</v>
      </c>
      <c r="V41" s="347" t="n">
        <v>0</v>
      </c>
      <c r="W41" s="347" t="n">
        <v>0</v>
      </c>
      <c r="X41" s="347" t="n">
        <v>0</v>
      </c>
      <c r="Y41" s="347" t="n">
        <v>0</v>
      </c>
      <c r="Z41" s="347" t="n">
        <v>0</v>
      </c>
      <c r="AA41" s="347" t="n">
        <v>0</v>
      </c>
      <c r="AB41" s="347" t="n">
        <v>0</v>
      </c>
      <c r="AC41" s="347" t="n">
        <v>0</v>
      </c>
      <c r="AD41" s="347" t="n">
        <v>0</v>
      </c>
      <c r="AE41" s="347" t="n">
        <v>0</v>
      </c>
      <c r="AF41" s="347" t="n">
        <v>0</v>
      </c>
      <c r="AG41" s="347" t="n">
        <v>0</v>
      </c>
      <c r="AH41" s="347" t="n">
        <v>0</v>
      </c>
    </row>
    <row r="42" customFormat="false" ht="12.75" hidden="false" customHeight="false" outlineLevel="0" collapsed="false">
      <c r="A42" s="345" t="s">
        <v>265</v>
      </c>
      <c r="D42" s="347" t="n">
        <v>0</v>
      </c>
      <c r="E42" s="347" t="n">
        <v>0</v>
      </c>
      <c r="F42" s="347" t="n">
        <v>0</v>
      </c>
      <c r="G42" s="347" t="n">
        <v>0</v>
      </c>
      <c r="H42" s="347" t="n">
        <v>0</v>
      </c>
      <c r="I42" s="347" t="n">
        <v>0</v>
      </c>
      <c r="J42" s="347" t="n">
        <v>0</v>
      </c>
      <c r="K42" s="347" t="n">
        <v>0</v>
      </c>
      <c r="L42" s="347" t="n">
        <v>0</v>
      </c>
      <c r="M42" s="347" t="n">
        <v>0</v>
      </c>
      <c r="N42" s="347" t="n">
        <v>0</v>
      </c>
      <c r="O42" s="347" t="n">
        <v>0</v>
      </c>
      <c r="P42" s="347" t="n">
        <v>0</v>
      </c>
      <c r="Q42" s="347" t="n">
        <v>0</v>
      </c>
      <c r="R42" s="347" t="n">
        <v>0</v>
      </c>
      <c r="S42" s="347" t="n">
        <v>0</v>
      </c>
      <c r="T42" s="347" t="n">
        <v>0</v>
      </c>
      <c r="U42" s="347" t="n">
        <v>0</v>
      </c>
      <c r="V42" s="347" t="n">
        <v>0</v>
      </c>
      <c r="W42" s="347" t="n">
        <v>0</v>
      </c>
      <c r="X42" s="347" t="n">
        <v>0</v>
      </c>
      <c r="Y42" s="347" t="n">
        <v>0</v>
      </c>
      <c r="Z42" s="347" t="n">
        <v>0</v>
      </c>
      <c r="AA42" s="347" t="n">
        <v>0</v>
      </c>
      <c r="AB42" s="347" t="n">
        <v>0</v>
      </c>
      <c r="AC42" s="347" t="n">
        <v>0</v>
      </c>
      <c r="AD42" s="347" t="n">
        <v>0</v>
      </c>
      <c r="AE42" s="347" t="n">
        <v>0</v>
      </c>
      <c r="AF42" s="347" t="n">
        <v>0</v>
      </c>
      <c r="AG42" s="347" t="n">
        <v>0</v>
      </c>
      <c r="AH42" s="347" t="n">
        <v>0</v>
      </c>
    </row>
    <row r="43" customFormat="false" ht="12.75" hidden="false" customHeight="false" outlineLevel="0" collapsed="false">
      <c r="A43" s="345"/>
      <c r="D43" s="348"/>
      <c r="E43" s="348"/>
      <c r="F43" s="348"/>
      <c r="G43" s="348"/>
      <c r="H43" s="348"/>
      <c r="I43" s="348"/>
      <c r="J43" s="348"/>
      <c r="K43" s="348"/>
      <c r="L43" s="348"/>
      <c r="M43" s="348"/>
      <c r="N43" s="348"/>
      <c r="O43" s="348"/>
      <c r="P43" s="348"/>
      <c r="Q43" s="348"/>
      <c r="R43" s="348"/>
      <c r="S43" s="348"/>
      <c r="T43" s="348"/>
      <c r="U43" s="348"/>
      <c r="V43" s="348"/>
      <c r="W43" s="348"/>
      <c r="X43" s="348"/>
      <c r="Y43" s="348"/>
      <c r="Z43" s="348"/>
      <c r="AA43" s="348"/>
      <c r="AB43" s="348"/>
      <c r="AC43" s="348"/>
      <c r="AD43" s="348"/>
      <c r="AE43" s="348"/>
      <c r="AF43" s="348"/>
      <c r="AG43" s="348"/>
      <c r="AH43" s="348"/>
    </row>
    <row r="44" customFormat="false" ht="12.75" hidden="false" customHeight="false" outlineLevel="0" collapsed="false">
      <c r="A44" s="344" t="s">
        <v>266</v>
      </c>
      <c r="AD44" s="321"/>
      <c r="AE44" s="321"/>
      <c r="AF44" s="321"/>
      <c r="AG44" s="321"/>
      <c r="AH44" s="321"/>
    </row>
    <row r="45" customFormat="false" ht="12.75" hidden="false" customHeight="false" outlineLevel="0" collapsed="false">
      <c r="A45" s="345" t="s">
        <v>262</v>
      </c>
      <c r="D45" s="343" t="n">
        <f aca="false">IF(AND(D27&lt;=Assumptions!$J$75,IS!C27&lt;=Assumptions!$J$75),D26*12*'Power Price Assumption'!F25*Assumptions!$J$79,IF(AND(IS!D27&lt;=Assumptions!$J$75,IS!C27&gt;=Assumptions!$J$75),IS!D26*'Power Price Assumption'!F25*12*Assumptions!$J$79,0))</f>
        <v>0</v>
      </c>
      <c r="E45" s="343" t="n">
        <f aca="false">IF(AND(E27&lt;=Assumptions!$J$75,IS!D27&lt;=Assumptions!$J$75),E26*12*'Power Price Assumption'!G25*Assumptions!$J$79,IF(AND(IS!E27&lt;=Assumptions!$J$75,IS!D27&gt;=Assumptions!$J$75),IS!E26*'Power Price Assumption'!G25*12*Assumptions!$J$79,0))</f>
        <v>0</v>
      </c>
      <c r="F45" s="343" t="n">
        <f aca="false">IF(AND(F27&lt;=Assumptions!$J$75,IS!E27&lt;=Assumptions!$J$75),F26*12*'Power Price Assumption'!H25*Assumptions!$J$79,IF(AND(IS!F27&lt;=Assumptions!$J$75,IS!E27&gt;=Assumptions!$J$75),IS!F26*'Power Price Assumption'!H25*12*Assumptions!$J$79,0))</f>
        <v>0</v>
      </c>
      <c r="G45" s="343" t="n">
        <f aca="false">IF(AND(G27&lt;=Assumptions!$J$75,IS!F27&lt;=Assumptions!$J$75),G26*12*'Power Price Assumption'!I25*Assumptions!$J$79,IF(AND(IS!G27&lt;=Assumptions!$J$75,IS!F27&gt;=Assumptions!$J$75),IS!G26*'Power Price Assumption'!I25*12*Assumptions!$J$79,0))</f>
        <v>0</v>
      </c>
      <c r="H45" s="343" t="n">
        <f aca="false">IF(AND(H27&lt;=Assumptions!$J$75,IS!G27&lt;=Assumptions!$J$75),H26*12*'Power Price Assumption'!J25*Assumptions!$J$79,IF(AND(IS!H27&lt;=Assumptions!$J$75,IS!G27&gt;=Assumptions!$J$75),IS!H26*'Power Price Assumption'!J25*12*Assumptions!$J$79,0))</f>
        <v>0</v>
      </c>
      <c r="I45" s="343" t="n">
        <f aca="false">IF(AND(I27&lt;=Assumptions!$J$75,IS!H27&lt;=Assumptions!$J$75),I26*12*'Power Price Assumption'!K25*Assumptions!$J$79,IF(AND(IS!I27&lt;=Assumptions!$J$75,IS!H27&gt;=Assumptions!$J$75),IS!I26*'Power Price Assumption'!K25*12*Assumptions!$J$79,0))</f>
        <v>0</v>
      </c>
      <c r="J45" s="343" t="n">
        <f aca="false">IF(AND(J27&lt;=Assumptions!$J$75,IS!I27&lt;=Assumptions!$J$75),J26*12*'Power Price Assumption'!L25*Assumptions!$J$79,IF(AND(IS!J27&lt;=Assumptions!$J$75,IS!I27&gt;=Assumptions!$J$75),IS!J26*'Power Price Assumption'!L25*12*Assumptions!$J$79,0))</f>
        <v>0</v>
      </c>
      <c r="K45" s="343" t="n">
        <f aca="false">IF(AND(K27&lt;=Assumptions!$J$75,IS!J27&lt;=Assumptions!$J$75),K26*12*'Power Price Assumption'!M25*Assumptions!$J$79,IF(AND(IS!K27&lt;=Assumptions!$J$75,IS!J27&gt;=Assumptions!$J$75),IS!K26*'Power Price Assumption'!M25*12*Assumptions!$J$79,0))</f>
        <v>0</v>
      </c>
      <c r="L45" s="343" t="n">
        <f aca="false">IF(AND(L27&lt;=Assumptions!$J$75,IS!K27&lt;=Assumptions!$J$75),L26*12*'Power Price Assumption'!N25*Assumptions!$J$79,IF(AND(IS!L27&lt;=Assumptions!$J$75,IS!K27&gt;=Assumptions!$J$75),IS!L26*'Power Price Assumption'!N25*12*Assumptions!$J$79,0))</f>
        <v>0</v>
      </c>
      <c r="M45" s="343" t="n">
        <f aca="false">IF(AND(M27&lt;=Assumptions!$J$75,IS!L27&lt;=Assumptions!$J$75),M26*12*'Power Price Assumption'!O25*Assumptions!$J$79,IF(AND(IS!M27&lt;=Assumptions!$J$75,IS!L27&gt;=Assumptions!$J$75),IS!M26*'Power Price Assumption'!O25*12*Assumptions!$J$79,0))</f>
        <v>0</v>
      </c>
      <c r="N45" s="343" t="n">
        <f aca="false">IF(AND(N27&lt;=Assumptions!$J$75,IS!M27&lt;=Assumptions!$J$75),N26*12*'Power Price Assumption'!P25*Assumptions!$J$79,IF(AND(IS!N27&lt;=Assumptions!$J$75,IS!M27&gt;=Assumptions!$J$75),IS!N26*'Power Price Assumption'!P25*12*Assumptions!$J$79,0))</f>
        <v>0</v>
      </c>
      <c r="O45" s="343" t="n">
        <f aca="false">IF(AND(O27&lt;=Assumptions!$J$75,IS!N27&lt;=Assumptions!$J$75),O26*12*'Power Price Assumption'!Q25*Assumptions!$J$79,IF(AND(IS!O27&lt;=Assumptions!$J$75,IS!N27&gt;=Assumptions!$J$75),IS!O26*'Power Price Assumption'!Q25*12*Assumptions!$J$79,0))</f>
        <v>0</v>
      </c>
      <c r="P45" s="343" t="n">
        <f aca="false">IF(AND(P27&lt;=Assumptions!$J$75,IS!O27&lt;=Assumptions!$J$75),P26*12*'Power Price Assumption'!R25*Assumptions!$J$79,IF(AND(IS!P27&lt;=Assumptions!$J$75,IS!O27&gt;=Assumptions!$J$75),IS!P26*'Power Price Assumption'!R25*12*Assumptions!$J$79,0))</f>
        <v>0</v>
      </c>
      <c r="Q45" s="343" t="n">
        <f aca="false">IF(AND(Q27&lt;=Assumptions!$J$75,IS!P27&lt;=Assumptions!$J$75),Q26*12*'Power Price Assumption'!S25*Assumptions!$J$79,IF(AND(IS!Q27&lt;=Assumptions!$J$75,IS!P27&gt;=Assumptions!$J$75),IS!Q26*'Power Price Assumption'!S25*12*Assumptions!$J$79,0))</f>
        <v>0</v>
      </c>
      <c r="R45" s="343" t="n">
        <f aca="false">IF(AND(R27&lt;=Assumptions!$J$75,IS!Q27&lt;=Assumptions!$J$75),R26*12*'Power Price Assumption'!T25*Assumptions!$J$79,IF(AND(IS!R27&lt;=Assumptions!$J$75,IS!Q27&gt;=Assumptions!$J$75),IS!R26*'Power Price Assumption'!T25*12*Assumptions!$J$79,0))</f>
        <v>0</v>
      </c>
      <c r="S45" s="343" t="n">
        <f aca="false">IF(AND(S27&lt;=Assumptions!$J$75,IS!R27&lt;=Assumptions!$J$75),S26*12*'Power Price Assumption'!U25*Assumptions!$J$79,IF(AND(IS!S27&lt;=Assumptions!$J$75,IS!R27&gt;=Assumptions!$J$75),IS!S26*'Power Price Assumption'!U25*12*Assumptions!$J$79,0))</f>
        <v>0</v>
      </c>
      <c r="T45" s="343" t="n">
        <f aca="false">IF(AND(T27&lt;=Assumptions!$J$75,IS!S27&lt;=Assumptions!$J$75),T26*12*'Power Price Assumption'!V25*Assumptions!$J$79,IF(AND(IS!T27&lt;=Assumptions!$J$75,IS!S27&gt;=Assumptions!$J$75),IS!T26*'Power Price Assumption'!V25*12*Assumptions!$J$79,0))</f>
        <v>0</v>
      </c>
      <c r="U45" s="343" t="n">
        <f aca="false">IF(AND(U27&lt;=Assumptions!$J$75,IS!T27&lt;=Assumptions!$J$75),U26*12*'Power Price Assumption'!W25*Assumptions!$J$79,IF(AND(IS!U27&lt;=Assumptions!$J$75,IS!T27&gt;=Assumptions!$J$75),IS!U26*'Power Price Assumption'!W25*12*Assumptions!$J$79,0))</f>
        <v>0</v>
      </c>
      <c r="V45" s="343" t="n">
        <f aca="false">IF(AND(V27&lt;=Assumptions!$J$75,IS!U27&lt;=Assumptions!$J$75),V26*12*'Power Price Assumption'!X25*Assumptions!$J$79,IF(AND(IS!V27&lt;=Assumptions!$J$75,IS!U27&gt;=Assumptions!$J$75),IS!V26*'Power Price Assumption'!X25*12*Assumptions!$J$79,0))</f>
        <v>12171.6</v>
      </c>
      <c r="W45" s="343" t="n">
        <f aca="false">IF(AND(W27&lt;=Assumptions!$J$75,IS!V27&lt;=Assumptions!$J$75),W26*12*'Power Price Assumption'!Y25*Assumptions!$J$79,IF(AND(IS!W27&lt;=Assumptions!$J$75,IS!V27&gt;=Assumptions!$J$75),IS!W26*'Power Price Assumption'!Y25*12*Assumptions!$J$79,0))</f>
        <v>12171.6</v>
      </c>
      <c r="X45" s="343" t="n">
        <f aca="false">IF(AND(X27&lt;=Assumptions!$J$75,IS!W27&lt;=Assumptions!$J$75),X26*12*'Power Price Assumption'!Z25*Assumptions!$J$79,IF(AND(IS!X27&lt;=Assumptions!$J$75,IS!W27&gt;=Assumptions!$J$75),IS!X26*'Power Price Assumption'!Z25*12*Assumptions!$J$79,0))</f>
        <v>12171.6</v>
      </c>
      <c r="Y45" s="343" t="n">
        <f aca="false">IF(AND(Y27&lt;=Assumptions!$J$75,IS!X27&lt;=Assumptions!$J$75),Y26*12*'Power Price Assumption'!AA25*Assumptions!$J$79,IF(AND(IS!Y27&lt;=Assumptions!$J$75,IS!X27&gt;=Assumptions!$J$75),IS!Y26*'Power Price Assumption'!AA25*12*Assumptions!$J$79,0))</f>
        <v>12171.6</v>
      </c>
      <c r="Z45" s="343" t="n">
        <f aca="false">IF(AND(Z27&lt;=Assumptions!$J$75,IS!Y27&lt;=Assumptions!$J$75),Z26*12*'Power Price Assumption'!AB25*Assumptions!$J$79,IF(AND(IS!Z27&lt;=Assumptions!$J$75,IS!Y27&gt;=Assumptions!$J$75),IS!Z26*'Power Price Assumption'!AB25*12*Assumptions!$J$79,0))</f>
        <v>12171.6</v>
      </c>
      <c r="AA45" s="343" t="n">
        <f aca="false">IF(AND(AA27&lt;=Assumptions!$J$75,IS!Z27&lt;=Assumptions!$J$75),AA26*12*'Power Price Assumption'!AC25*Assumptions!$J$79,IF(AND(IS!AA27&lt;=Assumptions!$J$75,IS!Z27&gt;=Assumptions!$J$75),IS!AA26*'Power Price Assumption'!AC25*12*Assumptions!$J$79,0))</f>
        <v>12171.6</v>
      </c>
      <c r="AB45" s="343" t="n">
        <f aca="false">IF(AND(AB27&lt;=Assumptions!$J$75,IS!AA27&lt;=Assumptions!$J$75),AB26*12*'Power Price Assumption'!AD25*Assumptions!$J$79,IF(AND(IS!AB27&lt;=Assumptions!$J$75,IS!AA27&gt;=Assumptions!$J$75),IS!AB26*'Power Price Assumption'!AD25*12*Assumptions!$J$79,0))</f>
        <v>12171.6</v>
      </c>
      <c r="AC45" s="343" t="n">
        <f aca="false">IF(AND(AC27&lt;=Assumptions!$J$75,IS!AB27&lt;=Assumptions!$J$75),AC26*12*'Power Price Assumption'!AE25*Assumptions!$J$79,IF(AND(IS!AC27&lt;=Assumptions!$J$75,IS!AB27&gt;=Assumptions!$J$75),IS!AC26*'Power Price Assumption'!AE25*12*Assumptions!$J$79,0))</f>
        <v>0</v>
      </c>
      <c r="AD45" s="343" t="n">
        <f aca="false">IF(AND(AD27&lt;=Assumptions!$J$75,IS!AC27&lt;=Assumptions!$J$75),AD26*12*'Power Price Assumption'!AF25*Assumptions!$J$79,IF(AND(IS!AD27&lt;=Assumptions!$J$75,IS!AC27&gt;=Assumptions!$J$75),IS!AD26*'Power Price Assumption'!AF25*12*Assumptions!$J$79,0))</f>
        <v>0</v>
      </c>
      <c r="AE45" s="343" t="n">
        <f aca="false">IF(AND(AE27&lt;=Assumptions!$J$75,IS!AD27&lt;=Assumptions!$J$75),AE26*12*'Power Price Assumption'!AG25*Assumptions!$J$79,IF(AND(IS!AE27&lt;=Assumptions!$J$75,IS!AD27&gt;=Assumptions!$J$75),IS!AE26*'Power Price Assumption'!AG25*12*Assumptions!$J$79,0))</f>
        <v>0</v>
      </c>
      <c r="AF45" s="343" t="n">
        <f aca="false">IF(AND(AF27&lt;=Assumptions!$J$75,IS!AE27&lt;=Assumptions!$J$75),AF26*12*'Power Price Assumption'!AH25*Assumptions!$J$79,IF(AND(IS!AF27&lt;=Assumptions!$J$75,IS!AE27&gt;=Assumptions!$J$75),IS!AF26*'Power Price Assumption'!AH25*12*Assumptions!$J$79,0))</f>
        <v>0</v>
      </c>
      <c r="AG45" s="343" t="n">
        <f aca="false">IF(AND(AG27&lt;=Assumptions!$J$75,IS!AF27&lt;=Assumptions!$J$75),AG26*12*'Power Price Assumption'!AI25*Assumptions!$J$79,IF(AND(IS!AG27&lt;=Assumptions!$J$75,IS!AF27&gt;=Assumptions!$J$75),IS!AG26*'Power Price Assumption'!AI25*12*Assumptions!$J$79,0))</f>
        <v>0</v>
      </c>
      <c r="AH45" s="343" t="n">
        <f aca="false">IF(AND(AH27&lt;=Assumptions!$J$75,IS!AG27&lt;=Assumptions!$J$75),AH26*12*'Power Price Assumption'!AJ25*Assumptions!$J$79,IF(AND(IS!AH27&lt;=Assumptions!$J$75,IS!AG27&gt;=Assumptions!$J$75),IS!AH26*'Power Price Assumption'!AJ25*12*Assumptions!$J$79,0))</f>
        <v>0</v>
      </c>
    </row>
    <row r="46" customFormat="false" ht="12.75" hidden="false" customHeight="false" outlineLevel="0" collapsed="false">
      <c r="A46" s="345" t="s">
        <v>263</v>
      </c>
      <c r="B46" s="225"/>
      <c r="D46" s="346"/>
      <c r="E46" s="346"/>
      <c r="F46" s="346"/>
      <c r="G46" s="346"/>
      <c r="H46" s="346"/>
      <c r="I46" s="346"/>
      <c r="J46" s="346"/>
      <c r="K46" s="346"/>
      <c r="L46" s="346"/>
      <c r="M46" s="346"/>
      <c r="N46" s="346"/>
      <c r="O46" s="346"/>
      <c r="P46" s="346"/>
      <c r="Q46" s="346"/>
      <c r="R46" s="346"/>
      <c r="S46" s="346"/>
      <c r="T46" s="346"/>
      <c r="U46" s="346"/>
      <c r="V46" s="346" t="n">
        <f aca="false">+U40*(1+Assumptions!$P$21)</f>
        <v>710.01</v>
      </c>
      <c r="W46" s="343" t="n">
        <f aca="false">IF(AND(W27&lt;=Assumptions!$J$75,IS!V27&lt;=Assumptions!$J$75),V46*(1+Assumptions!$P$21),IF(AND(IS!V27&lt;=Assumptions!$J$75,IS!W27&gt;=Assumptions!$J$75),V46*(IS!W$23-IS!V$23)*(1+Assumptions!$P$21),0))</f>
        <v>710.01</v>
      </c>
      <c r="X46" s="343" t="n">
        <f aca="false">IF(AND(X27&lt;=Assumptions!$J$75,IS!W27&lt;=Assumptions!$J$75),W46*(1+Assumptions!$P$21),IF(AND(IS!W27&lt;=Assumptions!$J$75,IS!X27&gt;=Assumptions!$J$75),W46*(IS!X$23-IS!W$23)*(1+Assumptions!$P$21),0))</f>
        <v>710.01</v>
      </c>
      <c r="Y46" s="343" t="n">
        <f aca="false">IF(AND(Y27&lt;=Assumptions!$J$75,IS!X27&lt;=Assumptions!$J$75),X46*(1+Assumptions!$P$21),IF(AND(IS!X27&lt;=Assumptions!$J$75,IS!Y27&gt;=Assumptions!$J$75),X46*(IS!Y$23-IS!X$23)*(1+Assumptions!$P$21),0))</f>
        <v>710.01</v>
      </c>
      <c r="Z46" s="343" t="n">
        <f aca="false">IF(AND(Z27&lt;=Assumptions!$J$75,IS!Y27&lt;=Assumptions!$J$75),Y46*(1+Assumptions!$P$21),IF(AND(IS!Y27&lt;=Assumptions!$J$75,IS!Z27&gt;=Assumptions!$J$75),Y46*(IS!Z$23-IS!Y$23)*(1+Assumptions!$P$21),0))</f>
        <v>710.01</v>
      </c>
      <c r="AA46" s="343" t="n">
        <f aca="false">IF(AND(AA27&lt;=Assumptions!$J$75,IS!Z27&lt;=Assumptions!$J$75),Z46*(1+Assumptions!$P$21),IF(AND(IS!Z27&lt;=Assumptions!$J$75,IS!AA27&gt;=Assumptions!$J$75),Z46*(IS!AA$23-IS!Z$23)*(1+Assumptions!$P$21),0))</f>
        <v>710.01</v>
      </c>
      <c r="AB46" s="343" t="n">
        <f aca="false">IF(AND(AB27&lt;=Assumptions!$J$75,IS!AA27&lt;=Assumptions!$J$75),AA46*(1+Assumptions!$P$21),IF(AND(IS!AA27&lt;=Assumptions!$J$75,IS!AB27&gt;=Assumptions!$J$75),AA46*(IS!AB$23-IS!AA$23)*(1+Assumptions!$P$21),0))</f>
        <v>710.01</v>
      </c>
      <c r="AC46" s="343" t="n">
        <f aca="false">IF(AND(AC27&lt;Assumptions!$J$75,IS!AB27&lt;Assumptions!$J$75),AB46*(1+Assumptions!$P$21),IF(AND(IS!AB27&lt;Assumptions!$J$75,IS!AC27&gt;Assumptions!$J$75),AB46*(IS!AC$23-IS!AB$23)*(1+Assumptions!$P$21),0))</f>
        <v>0</v>
      </c>
      <c r="AD46" s="343" t="n">
        <f aca="false">IF(AND(AD27&lt;Assumptions!$J$75,IS!AC27&lt;Assumptions!$J$75),AC46*(1+Assumptions!$P$21),IF(AND(IS!AC27&lt;Assumptions!$J$75,IS!AD27&gt;Assumptions!$J$75),AC46*(IS!AD$23-IS!AC$23)*(1+Assumptions!$P$21),0))</f>
        <v>0</v>
      </c>
      <c r="AE46" s="343" t="n">
        <f aca="false">IF(AND(AE27&lt;Assumptions!$J$75,IS!AD27&lt;Assumptions!$J$75),AD46*(1+Assumptions!$P$21),IF(AND(IS!AD27&lt;Assumptions!$J$75,IS!AE27&gt;Assumptions!$J$75),AD46*(IS!AE$23-IS!AD$23)*(1+Assumptions!$P$21),0))</f>
        <v>0</v>
      </c>
      <c r="AF46" s="343" t="n">
        <f aca="false">IF(AND(AF27&lt;Assumptions!$J$75,IS!AE27&lt;Assumptions!$J$75),AE46*(1+Assumptions!$P$21),IF(AND(IS!AE27&lt;Assumptions!$J$75,IS!AF27&gt;Assumptions!$J$75),AE46*(IS!AF$23-IS!AE$23)*(1+Assumptions!$P$21),0))</f>
        <v>0</v>
      </c>
      <c r="AG46" s="343" t="n">
        <f aca="false">IF(AND(AG27&lt;Assumptions!$J$75,IS!AF27&lt;Assumptions!$J$75),AF46*(1+Assumptions!$P$21),IF(AND(IS!AF27&lt;Assumptions!$J$75,IS!AG27&gt;Assumptions!$J$75),AF46*(IS!AG$23-IS!AF$23)*(1+Assumptions!$P$21),0))</f>
        <v>0</v>
      </c>
      <c r="AH46" s="343" t="n">
        <f aca="false">IF(AND(AH27&lt;Assumptions!$J$75,IS!AG27&lt;Assumptions!$J$75),AG46*(1+Assumptions!$P$21),IF(AND(IS!AG27&lt;Assumptions!$J$75,IS!AH27&gt;Assumptions!$J$75),AG46*(IS!AH$23-IS!AG$23)*(1+Assumptions!$P$21),0))</f>
        <v>0</v>
      </c>
    </row>
    <row r="47" customFormat="false" ht="12.75" hidden="false" customHeight="false" outlineLevel="0" collapsed="false">
      <c r="A47" s="345" t="s">
        <v>264</v>
      </c>
      <c r="D47" s="347" t="n">
        <v>0</v>
      </c>
      <c r="E47" s="347" t="n">
        <v>0</v>
      </c>
      <c r="F47" s="347" t="n">
        <v>0</v>
      </c>
      <c r="G47" s="347" t="n">
        <v>0</v>
      </c>
      <c r="H47" s="347" t="n">
        <v>0</v>
      </c>
      <c r="I47" s="347" t="n">
        <v>0</v>
      </c>
      <c r="J47" s="347" t="n">
        <v>0</v>
      </c>
      <c r="K47" s="347" t="n">
        <v>0</v>
      </c>
      <c r="L47" s="347" t="n">
        <v>0</v>
      </c>
      <c r="M47" s="347" t="n">
        <v>0</v>
      </c>
      <c r="N47" s="347" t="n">
        <v>0</v>
      </c>
      <c r="O47" s="347" t="n">
        <v>0</v>
      </c>
      <c r="P47" s="347" t="n">
        <v>0</v>
      </c>
      <c r="Q47" s="347" t="n">
        <v>0</v>
      </c>
      <c r="R47" s="347" t="n">
        <v>0</v>
      </c>
      <c r="S47" s="347" t="n">
        <v>0</v>
      </c>
      <c r="T47" s="347" t="n">
        <v>0</v>
      </c>
      <c r="U47" s="347" t="n">
        <v>0</v>
      </c>
      <c r="V47" s="347" t="n">
        <v>0</v>
      </c>
      <c r="W47" s="347" t="n">
        <v>0</v>
      </c>
      <c r="X47" s="347" t="n">
        <v>0</v>
      </c>
      <c r="Y47" s="347" t="n">
        <v>0</v>
      </c>
      <c r="Z47" s="347" t="n">
        <v>0</v>
      </c>
      <c r="AA47" s="347" t="n">
        <v>0</v>
      </c>
      <c r="AB47" s="347" t="n">
        <v>0</v>
      </c>
      <c r="AC47" s="347" t="n">
        <v>0</v>
      </c>
      <c r="AD47" s="347" t="n">
        <v>0</v>
      </c>
      <c r="AE47" s="347" t="n">
        <v>0</v>
      </c>
      <c r="AF47" s="347" t="n">
        <v>0</v>
      </c>
      <c r="AG47" s="347" t="n">
        <v>0</v>
      </c>
      <c r="AH47" s="347" t="n">
        <v>0</v>
      </c>
    </row>
    <row r="48" customFormat="false" ht="12.75" hidden="false" customHeight="false" outlineLevel="0" collapsed="false">
      <c r="A48" s="345" t="s">
        <v>265</v>
      </c>
      <c r="D48" s="347" t="n">
        <v>0</v>
      </c>
      <c r="E48" s="347" t="n">
        <v>0</v>
      </c>
      <c r="F48" s="347" t="n">
        <v>0</v>
      </c>
      <c r="G48" s="347" t="n">
        <v>0</v>
      </c>
      <c r="H48" s="347" t="n">
        <v>0</v>
      </c>
      <c r="I48" s="347" t="n">
        <v>0</v>
      </c>
      <c r="J48" s="347" t="n">
        <v>0</v>
      </c>
      <c r="K48" s="347" t="n">
        <v>0</v>
      </c>
      <c r="L48" s="347" t="n">
        <v>0</v>
      </c>
      <c r="M48" s="347" t="n">
        <v>0</v>
      </c>
      <c r="N48" s="347" t="n">
        <v>0</v>
      </c>
      <c r="O48" s="347" t="n">
        <v>0</v>
      </c>
      <c r="P48" s="347" t="n">
        <v>0</v>
      </c>
      <c r="Q48" s="347" t="n">
        <v>0</v>
      </c>
      <c r="R48" s="347" t="n">
        <v>0</v>
      </c>
      <c r="S48" s="347" t="n">
        <v>0</v>
      </c>
      <c r="T48" s="347" t="n">
        <v>0</v>
      </c>
      <c r="U48" s="347" t="n">
        <v>0</v>
      </c>
      <c r="V48" s="347" t="n">
        <v>0</v>
      </c>
      <c r="W48" s="347" t="n">
        <v>0</v>
      </c>
      <c r="X48" s="347" t="n">
        <v>0</v>
      </c>
      <c r="Y48" s="347" t="n">
        <v>0</v>
      </c>
      <c r="Z48" s="347" t="n">
        <v>0</v>
      </c>
      <c r="AA48" s="347" t="n">
        <v>0</v>
      </c>
      <c r="AB48" s="347" t="n">
        <v>0</v>
      </c>
      <c r="AC48" s="347" t="n">
        <v>0</v>
      </c>
      <c r="AD48" s="347" t="n">
        <v>0</v>
      </c>
      <c r="AE48" s="347" t="n">
        <v>0</v>
      </c>
      <c r="AF48" s="347" t="n">
        <v>0</v>
      </c>
      <c r="AG48" s="347" t="n">
        <v>0</v>
      </c>
      <c r="AH48" s="347" t="n">
        <v>0</v>
      </c>
    </row>
    <row r="49" customFormat="false" ht="12.75" hidden="false" customHeight="false" outlineLevel="0" collapsed="false">
      <c r="AD49" s="321"/>
      <c r="AE49" s="321"/>
      <c r="AF49" s="321"/>
      <c r="AG49" s="321"/>
      <c r="AH49" s="321"/>
    </row>
    <row r="50" customFormat="false" ht="12.75" hidden="false" customHeight="false" outlineLevel="0" collapsed="false">
      <c r="A50" s="345" t="s">
        <v>267</v>
      </c>
      <c r="D50" s="343" t="n">
        <f aca="false">IF(AND(D6&gt;Assumptions!$J$51,IS!C6&gt;Assumptions!$J$51),Assumptions!$J$82*Assumptions!$J$14*Assumptions!$J$83*Assumptions!$J$79/1000,IF(AND(D6&gt;Assumptions!$J$51,IS!C6&lt;Assumptions!$J$51),Assumptions!$J$82*Assumptions!$J$14*Assumptions!$J$83*Assumptions!$J$79/1000*$D$6,0))</f>
        <v>0</v>
      </c>
      <c r="E50" s="343" t="n">
        <f aca="false">IF(AND(E6&gt;Assumptions!$J$51,IS!D6&gt;Assumptions!$J$51),Assumptions!$J$82*Assumptions!$J$14*Assumptions!$J$83*Assumptions!$J$79/1000,IF(AND(E6&gt;Assumptions!$J$51,IS!D6&lt;Assumptions!$J$51),Assumptions!$J$82*Assumptions!$J$14*Assumptions!$J$83*Assumptions!$J$79/1000*$D$6,0))</f>
        <v>0</v>
      </c>
      <c r="F50" s="343" t="n">
        <f aca="false">IF(AND(F6&gt;Assumptions!$J$51,IS!E6&gt;Assumptions!$J$51),Assumptions!$J$82*Assumptions!$J$14*Assumptions!$J$83*Assumptions!$J$79/1000,IF(AND(F6&gt;Assumptions!$J$51,IS!E6&lt;Assumptions!$J$51),Assumptions!$J$82*Assumptions!$J$14*Assumptions!$J$83*Assumptions!$J$79/1000*$D$6,0))</f>
        <v>0</v>
      </c>
      <c r="G50" s="343" t="n">
        <f aca="false">IF(AND(G6&gt;Assumptions!$J$51,IS!F6&gt;Assumptions!$J$51),Assumptions!$J$82*Assumptions!$J$14*Assumptions!$J$83*Assumptions!$J$79/1000,IF(AND(G6&gt;Assumptions!$J$51,IS!F6&lt;Assumptions!$J$51),Assumptions!$J$82*Assumptions!$J$14*Assumptions!$J$83*Assumptions!$J$79/1000*$D$6,0))</f>
        <v>0</v>
      </c>
      <c r="H50" s="343" t="n">
        <f aca="false">IF(AND(H6&gt;Assumptions!$J$51,IS!G6&gt;Assumptions!$J$51),Assumptions!$J$82*Assumptions!$J$14*Assumptions!$J$83*Assumptions!$J$79/1000,IF(AND(H6&gt;Assumptions!$J$51,IS!G6&lt;Assumptions!$J$51),Assumptions!$J$82*Assumptions!$J$14*Assumptions!$J$83*Assumptions!$J$79/1000*$D$6,0))</f>
        <v>0</v>
      </c>
      <c r="I50" s="343" t="n">
        <f aca="false">IF(AND(I6&gt;Assumptions!$J$51,IS!H6&gt;Assumptions!$J$51),Assumptions!$J$82*Assumptions!$J$14*Assumptions!$J$83*Assumptions!$J$79/1000,IF(AND(I6&gt;Assumptions!$J$51,IS!H6&lt;Assumptions!$J$51),Assumptions!$J$82*Assumptions!$J$14*Assumptions!$J$83*Assumptions!$J$79/1000*$D$6,0))</f>
        <v>0</v>
      </c>
      <c r="J50" s="343" t="n">
        <f aca="false">IF(AND(J6&gt;Assumptions!$J$51,IS!I6&gt;Assumptions!$J$51),Assumptions!$J$82*Assumptions!$J$14*Assumptions!$J$83*Assumptions!$J$79/1000,IF(AND(J6&gt;Assumptions!$J$51,IS!I6&lt;Assumptions!$J$51),Assumptions!$J$82*Assumptions!$J$14*Assumptions!$J$83*Assumptions!$J$79/1000*$D$6,0))</f>
        <v>0</v>
      </c>
      <c r="K50" s="343" t="n">
        <f aca="false">IF(AND(K6&gt;Assumptions!$J$51,IS!J6&gt;Assumptions!$J$51),Assumptions!$J$82*Assumptions!$J$14*Assumptions!$J$83*Assumptions!$J$79/1000,IF(AND(K6&gt;Assumptions!$J$51,IS!J6&lt;Assumptions!$J$51),Assumptions!$J$82*Assumptions!$J$14*Assumptions!$J$83*Assumptions!$J$79/1000*$D$6,0))</f>
        <v>0</v>
      </c>
      <c r="L50" s="343" t="n">
        <f aca="false">IF(AND(L6&gt;Assumptions!$J$51,IS!K6&gt;Assumptions!$J$51),Assumptions!$J$82*Assumptions!$J$14*Assumptions!$J$83*Assumptions!$J$79/1000,IF(AND(L6&gt;Assumptions!$J$51,IS!K6&lt;Assumptions!$J$51),Assumptions!$J$82*Assumptions!$J$14*Assumptions!$J$83*Assumptions!$J$79/1000*$D$6,0))</f>
        <v>0</v>
      </c>
      <c r="M50" s="343" t="n">
        <f aca="false">IF(AND(M6&gt;Assumptions!$J$51,IS!L6&gt;Assumptions!$J$51),Assumptions!$J$82*Assumptions!$J$14*Assumptions!$J$83*Assumptions!$J$79/1000,IF(AND(M6&gt;Assumptions!$J$51,IS!L6&lt;Assumptions!$J$51),Assumptions!$J$82*Assumptions!$J$14*Assumptions!$J$83*Assumptions!$J$79/1000*$D$6,0))</f>
        <v>0</v>
      </c>
      <c r="N50" s="343" t="n">
        <f aca="false">IF(AND(N6&gt;Assumptions!$J$51,IS!M6&gt;Assumptions!$J$51),Assumptions!$J$82*Assumptions!$J$14*Assumptions!$J$83*Assumptions!$J$79/1000,IF(AND(N6&gt;Assumptions!$J$51,IS!M6&lt;Assumptions!$J$51),Assumptions!$J$82*Assumptions!$J$14*Assumptions!$J$83*Assumptions!$J$79/1000*$D$6,0))</f>
        <v>0</v>
      </c>
      <c r="O50" s="343" t="n">
        <f aca="false">IF(AND(O6&gt;Assumptions!$J$51,IS!N6&gt;Assumptions!$J$51),Assumptions!$J$82*Assumptions!$J$14*Assumptions!$J$83*Assumptions!$J$79/1000,IF(AND(O6&gt;Assumptions!$J$51,IS!N6&lt;Assumptions!$J$51),Assumptions!$J$82*Assumptions!$J$14*Assumptions!$J$83*Assumptions!$J$79/1000*$D$6,0))</f>
        <v>0</v>
      </c>
      <c r="P50" s="343" t="n">
        <f aca="false">IF(AND(P6&gt;Assumptions!$J$51,IS!O6&gt;Assumptions!$J$51),Assumptions!$J$82*Assumptions!$J$14*Assumptions!$J$83*Assumptions!$J$79/1000,IF(AND(P6&gt;Assumptions!$J$51,IS!O6&lt;Assumptions!$J$51),Assumptions!$J$82*Assumptions!$J$14*Assumptions!$J$83*Assumptions!$J$79/1000*$D$6,0))</f>
        <v>0</v>
      </c>
      <c r="Q50" s="343" t="n">
        <f aca="false">IF(AND(Q6&gt;Assumptions!$J$51,IS!P6&gt;Assumptions!$J$51),Assumptions!$J$82*Assumptions!$J$14*Assumptions!$J$83*Assumptions!$J$79/1000,IF(AND(Q6&gt;Assumptions!$J$51,IS!P6&lt;Assumptions!$J$51),Assumptions!$J$82*Assumptions!$J$14*Assumptions!$J$83*Assumptions!$J$79/1000*$D$6,0))</f>
        <v>0</v>
      </c>
      <c r="R50" s="343" t="n">
        <f aca="false">IF(AND(R6&gt;Assumptions!$J$51,IS!Q6&gt;Assumptions!$J$51),Assumptions!$J$82*Assumptions!$J$14*Assumptions!$J$83*Assumptions!$J$79/1000,IF(AND(R6&gt;Assumptions!$J$51,IS!Q6&lt;Assumptions!$J$51),Assumptions!$J$82*Assumptions!$J$14*Assumptions!$J$83*Assumptions!$J$79/1000*$D$6,0))</f>
        <v>0</v>
      </c>
      <c r="S50" s="343" t="n">
        <f aca="false">IF(AND(S6&gt;Assumptions!$J$51,IS!R6&gt;Assumptions!$J$51),Assumptions!$J$82*Assumptions!$J$14*Assumptions!$J$83*Assumptions!$J$79/1000,IF(AND(S6&gt;Assumptions!$J$51,IS!R6&lt;Assumptions!$J$51),Assumptions!$J$82*Assumptions!$J$14*Assumptions!$J$83*Assumptions!$J$79/1000*$D$6,0))</f>
        <v>0</v>
      </c>
      <c r="T50" s="343" t="n">
        <f aca="false">IF(AND(T6&gt;Assumptions!$J$51,IS!S6&gt;Assumptions!$J$51),Assumptions!$J$82*Assumptions!$J$14*Assumptions!$J$83*Assumptions!$J$79/1000,IF(AND(T6&gt;Assumptions!$J$51,IS!S6&lt;Assumptions!$J$51),Assumptions!$J$82*Assumptions!$J$14*Assumptions!$J$83*Assumptions!$J$79/1000*$D$6,0))</f>
        <v>0</v>
      </c>
      <c r="U50" s="343" t="n">
        <f aca="false">IF(AND(U6&gt;Assumptions!$J$51,IS!T6&gt;Assumptions!$J$51),Assumptions!$J$82*Assumptions!$J$14*Assumptions!$J$83*Assumptions!$J$79/1000,IF(AND(U6&gt;Assumptions!$J$51,IS!T6&lt;Assumptions!$J$51),Assumptions!$J$82*Assumptions!$J$14*Assumptions!$J$83*Assumptions!$J$79/1000*$D$6,0))</f>
        <v>0</v>
      </c>
      <c r="V50" s="343" t="n">
        <f aca="false">IF(AND(V6&gt;Assumptions!$J$51,IS!U6&gt;Assumptions!$J$51),Assumptions!$J$82*Assumptions!$J$14*Assumptions!$J$83*Assumptions!$J$79/1000,IF(AND(V6&gt;Assumptions!$J$51,IS!U6&lt;Assumptions!$J$51),Assumptions!$J$82*Assumptions!$J$14*Assumptions!$J$83*Assumptions!$J$79/1000*$D$6,0))</f>
        <v>0</v>
      </c>
      <c r="W50" s="343" t="n">
        <f aca="false">IF(AND(W6&gt;Assumptions!$J$51,IS!V6&gt;Assumptions!$J$51),Assumptions!$J$82*Assumptions!$J$14*Assumptions!$J$83*Assumptions!$J$79/1000,IF(AND(W6&gt;Assumptions!$J$51,IS!V6&lt;Assumptions!$J$51),Assumptions!$J$82*Assumptions!$J$14*Assumptions!$J$83*Assumptions!$J$79/1000*$D$6,0))</f>
        <v>0</v>
      </c>
      <c r="X50" s="343" t="n">
        <f aca="false">IF(AND(X6&gt;Assumptions!$J$51,IS!W6&gt;Assumptions!$J$51),Assumptions!$J$82*Assumptions!$J$14*Assumptions!$J$83*Assumptions!$J$79/1000,IF(AND(X6&gt;Assumptions!$J$51,IS!W6&lt;Assumptions!$J$51),Assumptions!$J$82*Assumptions!$J$14*Assumptions!$J$83*Assumptions!$J$79/1000*$D$6,0))</f>
        <v>0</v>
      </c>
      <c r="Y50" s="343" t="n">
        <f aca="false">IF(AND(Y6&gt;Assumptions!$J$51,IS!X6&gt;Assumptions!$J$51),Assumptions!$J$82*Assumptions!$J$14*Assumptions!$J$83*Assumptions!$J$79/1000,IF(AND(Y6&gt;Assumptions!$J$51,IS!X6&lt;Assumptions!$J$51),Assumptions!$J$82*Assumptions!$J$14*Assumptions!$J$83*Assumptions!$J$79/1000*$D$6,0))</f>
        <v>0</v>
      </c>
      <c r="Z50" s="343" t="n">
        <f aca="false">IF(AND(Z6&gt;Assumptions!$J$51,IS!Y6&gt;Assumptions!$J$51),Assumptions!$J$82*Assumptions!$J$14*Assumptions!$J$83*Assumptions!$J$79/1000,IF(AND(Z6&gt;Assumptions!$J$51,IS!Y6&lt;Assumptions!$J$51),Assumptions!$J$82*Assumptions!$J$14*Assumptions!$J$83*Assumptions!$J$79/1000*$D$6,0))</f>
        <v>0</v>
      </c>
      <c r="AA50" s="343" t="n">
        <f aca="false">IF(AND(AA6&gt;Assumptions!$J$51,IS!Z6&gt;Assumptions!$J$51),Assumptions!$J$82*Assumptions!$J$14*Assumptions!$J$83*Assumptions!$J$79/1000,IF(AND(AA6&gt;Assumptions!$J$51,IS!Z6&lt;Assumptions!$J$51),Assumptions!$J$82*Assumptions!$J$14*Assumptions!$J$83*Assumptions!$J$79/1000*$D$6,0))</f>
        <v>0</v>
      </c>
      <c r="AB50" s="343" t="n">
        <f aca="false">IF(AND(AB6&gt;Assumptions!$J$51,IS!AA6&gt;Assumptions!$J$51),Assumptions!$J$82*Assumptions!$J$14*Assumptions!$J$83*Assumptions!$J$79/1000,IF(AND(AB6&gt;Assumptions!$J$51,IS!AA6&lt;Assumptions!$J$51),Assumptions!$J$82*Assumptions!$J$14*Assumptions!$J$83*Assumptions!$J$79/1000*$D$6,0))</f>
        <v>0</v>
      </c>
      <c r="AC50" s="343" t="n">
        <f aca="false">IF(AND(AC6&gt;Assumptions!$J$51,IS!AB6&gt;Assumptions!$J$51),Assumptions!$J$82*Assumptions!$J$14*Assumptions!$J$83*Assumptions!$J$79/1000,IF(AND(AC6&gt;Assumptions!$J$51,IS!AB6&lt;Assumptions!$J$51),Assumptions!$J$82*Assumptions!$J$14*Assumptions!$J$83*Assumptions!$J$79/1000*$D$6,0))</f>
        <v>0</v>
      </c>
      <c r="AD50" s="343" t="n">
        <f aca="false">IF(AND(AD6&gt;Assumptions!$J$51,IS!AC6&gt;Assumptions!$J$51),Assumptions!$J$82*Assumptions!$J$14*Assumptions!$J$83*Assumptions!$J$79/1000,IF(AND(AD6&gt;Assumptions!$J$51,IS!AC6&lt;Assumptions!$J$51),Assumptions!$J$82*Assumptions!$J$14*Assumptions!$J$83*Assumptions!$J$79/1000*$D$6,0))</f>
        <v>0</v>
      </c>
      <c r="AE50" s="343" t="n">
        <f aca="false">IF(AND(AE6&gt;Assumptions!$J$51,IS!AD6&gt;Assumptions!$J$51),Assumptions!$J$82*Assumptions!$J$14*Assumptions!$J$83*Assumptions!$J$79/1000,IF(AND(AE6&gt;Assumptions!$J$51,IS!AD6&lt;Assumptions!$J$51),Assumptions!$J$82*Assumptions!$J$14*Assumptions!$J$83*Assumptions!$J$79/1000*$D$6,0))</f>
        <v>0</v>
      </c>
      <c r="AF50" s="343" t="n">
        <f aca="false">IF(AND(AF6&gt;Assumptions!$J$51,IS!AE6&gt;Assumptions!$J$51),Assumptions!$J$82*Assumptions!$J$14*Assumptions!$J$83*Assumptions!$J$79/1000,IF(AND(AF6&gt;Assumptions!$J$51,IS!AE6&lt;Assumptions!$J$51),Assumptions!$J$82*Assumptions!$J$14*Assumptions!$J$83*Assumptions!$J$79/1000*$D$6,0))</f>
        <v>0</v>
      </c>
      <c r="AG50" s="343" t="n">
        <f aca="false">IF(AND(AG6&gt;Assumptions!$J$51,IS!AF6&gt;Assumptions!$J$51),Assumptions!$J$82*Assumptions!$J$14*Assumptions!$J$83*Assumptions!$J$79/1000,IF(AND(AG6&gt;Assumptions!$J$51,IS!AF6&lt;Assumptions!$J$51),Assumptions!$J$82*Assumptions!$J$14*Assumptions!$J$83*Assumptions!$J$79/1000*$D$6,0))</f>
        <v>0</v>
      </c>
      <c r="AH50" s="343" t="n">
        <f aca="false">IF(AND(AH6&gt;Assumptions!$J$51,IS!AG6&gt;Assumptions!$J$51),Assumptions!$J$82*Assumptions!$J$14*Assumptions!$J$83*Assumptions!$J$79/1000,IF(AND(AH6&gt;Assumptions!$J$51,IS!AG6&lt;Assumptions!$J$51),Assumptions!$J$82*Assumptions!$J$14*Assumptions!$J$83*Assumptions!$J$79/1000*$D$6,0))</f>
        <v>0</v>
      </c>
    </row>
    <row r="51" customFormat="false" ht="12.75" hidden="false" customHeight="false" outlineLevel="0" collapsed="false">
      <c r="A51" s="350" t="s">
        <v>268</v>
      </c>
      <c r="D51" s="347" t="n">
        <v>0</v>
      </c>
      <c r="E51" s="347" t="n">
        <v>0</v>
      </c>
      <c r="F51" s="347" t="n">
        <v>0</v>
      </c>
      <c r="G51" s="347" t="n">
        <v>0</v>
      </c>
      <c r="H51" s="347" t="n">
        <v>0</v>
      </c>
      <c r="I51" s="347" t="n">
        <v>0</v>
      </c>
      <c r="J51" s="347" t="n">
        <v>0</v>
      </c>
      <c r="K51" s="347" t="n">
        <v>0</v>
      </c>
      <c r="L51" s="347" t="n">
        <v>0</v>
      </c>
      <c r="M51" s="347" t="n">
        <v>0</v>
      </c>
      <c r="N51" s="347" t="n">
        <v>0</v>
      </c>
      <c r="O51" s="347" t="n">
        <v>0</v>
      </c>
      <c r="P51" s="347" t="n">
        <v>0</v>
      </c>
      <c r="Q51" s="347" t="n">
        <v>0</v>
      </c>
      <c r="R51" s="347" t="n">
        <v>0</v>
      </c>
      <c r="S51" s="347" t="n">
        <v>0</v>
      </c>
      <c r="T51" s="347" t="n">
        <v>0</v>
      </c>
      <c r="U51" s="347" t="n">
        <v>0</v>
      </c>
      <c r="V51" s="347" t="n">
        <v>0</v>
      </c>
      <c r="W51" s="347" t="n">
        <v>0</v>
      </c>
      <c r="X51" s="347" t="n">
        <v>0</v>
      </c>
      <c r="Y51" s="347" t="n">
        <v>0</v>
      </c>
      <c r="Z51" s="347" t="n">
        <v>0</v>
      </c>
      <c r="AA51" s="347" t="n">
        <v>0</v>
      </c>
      <c r="AB51" s="347" t="n">
        <v>0</v>
      </c>
      <c r="AC51" s="347" t="n">
        <v>0</v>
      </c>
      <c r="AD51" s="347" t="n">
        <v>0</v>
      </c>
      <c r="AE51" s="347" t="n">
        <v>0</v>
      </c>
      <c r="AF51" s="347" t="n">
        <v>0</v>
      </c>
      <c r="AG51" s="347" t="n">
        <v>0</v>
      </c>
      <c r="AH51" s="347" t="n">
        <v>0</v>
      </c>
    </row>
    <row r="52" customFormat="false" ht="12.75" hidden="false" customHeight="false" outlineLevel="0" collapsed="false">
      <c r="A52" s="350" t="s">
        <v>269</v>
      </c>
      <c r="D52" s="351" t="n">
        <v>0</v>
      </c>
      <c r="E52" s="351" t="n">
        <v>0</v>
      </c>
      <c r="F52" s="351" t="n">
        <v>0</v>
      </c>
      <c r="G52" s="351" t="n">
        <v>0</v>
      </c>
      <c r="H52" s="351" t="n">
        <v>0</v>
      </c>
      <c r="I52" s="351" t="n">
        <v>0</v>
      </c>
      <c r="J52" s="351" t="n">
        <v>0</v>
      </c>
      <c r="K52" s="351" t="n">
        <v>0</v>
      </c>
      <c r="L52" s="351" t="n">
        <v>0</v>
      </c>
      <c r="M52" s="351" t="n">
        <v>0</v>
      </c>
      <c r="N52" s="351" t="n">
        <v>0</v>
      </c>
      <c r="O52" s="351" t="n">
        <v>0</v>
      </c>
      <c r="P52" s="351" t="n">
        <v>0</v>
      </c>
      <c r="Q52" s="351" t="n">
        <v>0</v>
      </c>
      <c r="R52" s="351" t="n">
        <v>0</v>
      </c>
      <c r="S52" s="351" t="n">
        <v>0</v>
      </c>
      <c r="T52" s="351" t="n">
        <v>0</v>
      </c>
      <c r="U52" s="351" t="n">
        <v>0</v>
      </c>
      <c r="V52" s="351" t="n">
        <v>0</v>
      </c>
      <c r="W52" s="351" t="n">
        <v>0</v>
      </c>
      <c r="X52" s="351" t="n">
        <v>0</v>
      </c>
      <c r="Y52" s="351" t="n">
        <v>0</v>
      </c>
      <c r="Z52" s="351" t="n">
        <v>0</v>
      </c>
      <c r="AA52" s="351" t="n">
        <v>0</v>
      </c>
      <c r="AB52" s="351" t="n">
        <v>0</v>
      </c>
      <c r="AC52" s="352" t="n">
        <v>0</v>
      </c>
      <c r="AD52" s="352" t="n">
        <v>0</v>
      </c>
      <c r="AE52" s="352" t="n">
        <v>0</v>
      </c>
      <c r="AF52" s="352" t="n">
        <v>0</v>
      </c>
      <c r="AG52" s="352" t="n">
        <v>0</v>
      </c>
      <c r="AH52" s="352" t="n">
        <v>0</v>
      </c>
    </row>
    <row r="53" customFormat="false" ht="12.75" hidden="false" customHeight="false" outlineLevel="0" collapsed="false">
      <c r="A53" s="353" t="s">
        <v>270</v>
      </c>
      <c r="D53" s="351" t="n">
        <v>0</v>
      </c>
      <c r="E53" s="351" t="n">
        <v>0</v>
      </c>
      <c r="F53" s="351" t="n">
        <v>0</v>
      </c>
      <c r="G53" s="351" t="n">
        <v>0</v>
      </c>
      <c r="H53" s="351" t="n">
        <v>0</v>
      </c>
      <c r="I53" s="351" t="n">
        <v>0</v>
      </c>
      <c r="J53" s="351" t="n">
        <v>0</v>
      </c>
      <c r="K53" s="351" t="n">
        <v>0</v>
      </c>
      <c r="L53" s="351" t="n">
        <v>0</v>
      </c>
      <c r="M53" s="351" t="n">
        <v>0</v>
      </c>
      <c r="N53" s="351" t="n">
        <v>0</v>
      </c>
      <c r="O53" s="351" t="n">
        <v>0</v>
      </c>
      <c r="P53" s="351" t="n">
        <v>0</v>
      </c>
      <c r="Q53" s="351" t="n">
        <v>0</v>
      </c>
      <c r="R53" s="351" t="n">
        <v>0</v>
      </c>
      <c r="S53" s="351" t="n">
        <v>0</v>
      </c>
      <c r="T53" s="351" t="n">
        <v>0</v>
      </c>
      <c r="U53" s="351" t="n">
        <v>0</v>
      </c>
      <c r="V53" s="351" t="n">
        <v>0</v>
      </c>
      <c r="W53" s="351" t="n">
        <v>0</v>
      </c>
      <c r="X53" s="351" t="n">
        <v>0</v>
      </c>
      <c r="Y53" s="351" t="n">
        <v>0</v>
      </c>
      <c r="Z53" s="351" t="n">
        <v>0</v>
      </c>
      <c r="AA53" s="351" t="n">
        <v>0</v>
      </c>
      <c r="AB53" s="351" t="n">
        <v>0</v>
      </c>
      <c r="AC53" s="351"/>
      <c r="AD53" s="351"/>
      <c r="AE53" s="351"/>
      <c r="AF53" s="351"/>
      <c r="AG53" s="351"/>
      <c r="AH53" s="351"/>
    </row>
    <row r="54" customFormat="false" ht="12.75" hidden="false" customHeight="false" outlineLevel="0" collapsed="false">
      <c r="A54" s="353" t="s">
        <v>271</v>
      </c>
      <c r="D54" s="354" t="n">
        <f aca="false">+D58</f>
        <v>5065.53511320548</v>
      </c>
      <c r="E54" s="354" t="n">
        <f aca="false">+E58</f>
        <v>7577.54228</v>
      </c>
      <c r="F54" s="354" t="n">
        <f aca="false">+F58</f>
        <v>7577.54228</v>
      </c>
      <c r="G54" s="354" t="n">
        <f aca="false">+G58</f>
        <v>7577.54228</v>
      </c>
      <c r="H54" s="354" t="n">
        <f aca="false">+H58</f>
        <v>7577.54228</v>
      </c>
      <c r="I54" s="354" t="n">
        <f aca="false">+I58</f>
        <v>7577.54228</v>
      </c>
      <c r="J54" s="354" t="n">
        <f aca="false">+J58</f>
        <v>7577.54228</v>
      </c>
      <c r="K54" s="354" t="n">
        <f aca="false">+K58</f>
        <v>7577.54228</v>
      </c>
      <c r="L54" s="354" t="n">
        <f aca="false">+L58</f>
        <v>7577.54228</v>
      </c>
      <c r="M54" s="354" t="n">
        <f aca="false">+M58</f>
        <v>7577.54228</v>
      </c>
      <c r="N54" s="354" t="n">
        <f aca="false">+N58</f>
        <v>7577.54228</v>
      </c>
      <c r="O54" s="354" t="n">
        <f aca="false">+O58</f>
        <v>7577.54228</v>
      </c>
      <c r="P54" s="354" t="n">
        <f aca="false">+P58</f>
        <v>7577.54228</v>
      </c>
      <c r="Q54" s="354" t="n">
        <f aca="false">+Q58</f>
        <v>7577.54228</v>
      </c>
      <c r="R54" s="354" t="n">
        <f aca="false">+R58</f>
        <v>7577.54228</v>
      </c>
      <c r="S54" s="354" t="n">
        <f aca="false">+S58</f>
        <v>7577.54228</v>
      </c>
      <c r="T54" s="354" t="n">
        <f aca="false">+T58</f>
        <v>7577.54228</v>
      </c>
      <c r="U54" s="354" t="n">
        <f aca="false">+U58</f>
        <v>7577.54228</v>
      </c>
      <c r="V54" s="354" t="n">
        <f aca="false">+V58</f>
        <v>7577.54228</v>
      </c>
      <c r="W54" s="354" t="n">
        <f aca="false">+W58</f>
        <v>7577.54228</v>
      </c>
      <c r="X54" s="354" t="n">
        <f aca="false">+X58</f>
        <v>7577.54228</v>
      </c>
      <c r="Y54" s="354" t="n">
        <f aca="false">+Y58</f>
        <v>7577.54228</v>
      </c>
      <c r="Z54" s="354" t="n">
        <f aca="false">+Z58</f>
        <v>7577.54228</v>
      </c>
      <c r="AA54" s="354" t="n">
        <f aca="false">+AA58</f>
        <v>7577.54228</v>
      </c>
      <c r="AB54" s="354" t="n">
        <f aca="false">+AB58</f>
        <v>7577.54228</v>
      </c>
      <c r="AC54" s="351"/>
      <c r="AD54" s="351"/>
      <c r="AE54" s="351"/>
      <c r="AF54" s="351"/>
      <c r="AG54" s="351"/>
      <c r="AH54" s="351"/>
    </row>
    <row r="55" customFormat="false" ht="12.75" hidden="false" customHeight="false" outlineLevel="0" collapsed="false">
      <c r="A55" s="345" t="s">
        <v>272</v>
      </c>
      <c r="D55" s="343" t="n">
        <f aca="false">SUM(D33:D54)</f>
        <v>13912.1763460822</v>
      </c>
      <c r="E55" s="343" t="n">
        <f aca="false">SUM(E33:E54)</f>
        <v>20459.15228</v>
      </c>
      <c r="F55" s="343" t="n">
        <f aca="false">SUM(F33:F54)</f>
        <v>20459.15228</v>
      </c>
      <c r="G55" s="343" t="n">
        <f aca="false">SUM(G33:G54)</f>
        <v>20459.15228</v>
      </c>
      <c r="H55" s="343" t="n">
        <f aca="false">SUM(H33:H54)</f>
        <v>20459.15228</v>
      </c>
      <c r="I55" s="343" t="n">
        <f aca="false">SUM(I33:I54)</f>
        <v>20459.15228</v>
      </c>
      <c r="J55" s="343" t="n">
        <f aca="false">SUM(J33:J54)</f>
        <v>20459.15228</v>
      </c>
      <c r="K55" s="343" t="n">
        <f aca="false">SUM(K33:K54)</f>
        <v>20459.15228</v>
      </c>
      <c r="L55" s="343" t="n">
        <f aca="false">SUM(L33:L54)</f>
        <v>20459.15228</v>
      </c>
      <c r="M55" s="343" t="n">
        <f aca="false">SUM(M33:M54)</f>
        <v>20459.15228</v>
      </c>
      <c r="N55" s="343" t="n">
        <f aca="false">SUM(N33:N54)</f>
        <v>20459.15228</v>
      </c>
      <c r="O55" s="343" t="n">
        <f aca="false">SUM(O33:O54)</f>
        <v>20459.15228</v>
      </c>
      <c r="P55" s="343" t="n">
        <f aca="false">SUM(P33:P54)</f>
        <v>20459.15228</v>
      </c>
      <c r="Q55" s="343" t="n">
        <f aca="false">SUM(Q33:Q54)</f>
        <v>20459.15228</v>
      </c>
      <c r="R55" s="343" t="n">
        <f aca="false">SUM(R33:R54)</f>
        <v>20459.15228</v>
      </c>
      <c r="S55" s="343" t="n">
        <f aca="false">SUM(S33:S54)</f>
        <v>20459.15228</v>
      </c>
      <c r="T55" s="343" t="n">
        <f aca="false">SUM(T33:T54)</f>
        <v>20459.15228</v>
      </c>
      <c r="U55" s="343" t="n">
        <f aca="false">SUM(U33:U54)</f>
        <v>20459.15228</v>
      </c>
      <c r="V55" s="343" t="n">
        <f aca="false">SUM(V33:V54)</f>
        <v>20459.15228</v>
      </c>
      <c r="W55" s="343" t="n">
        <f aca="false">SUM(W33:W54)</f>
        <v>20459.15228</v>
      </c>
      <c r="X55" s="343" t="n">
        <f aca="false">SUM(X33:X54)</f>
        <v>20459.15228</v>
      </c>
      <c r="Y55" s="343" t="n">
        <f aca="false">SUM(Y33:Y54)</f>
        <v>20459.15228</v>
      </c>
      <c r="Z55" s="343" t="n">
        <f aca="false">SUM(Z33:Z54)</f>
        <v>20459.15228</v>
      </c>
      <c r="AA55" s="343" t="n">
        <f aca="false">SUM(AA33:AA54)</f>
        <v>20459.15228</v>
      </c>
      <c r="AB55" s="343" t="n">
        <f aca="false">SUM(AB33:AB54)</f>
        <v>20459.15228</v>
      </c>
      <c r="AC55" s="343" t="n">
        <f aca="false">SUM(AC33:AC52)</f>
        <v>0</v>
      </c>
      <c r="AD55" s="343" t="n">
        <f aca="false">SUM(AD33:AD52)</f>
        <v>0</v>
      </c>
      <c r="AE55" s="343" t="n">
        <f aca="false">SUM(AE33:AE52)</f>
        <v>0</v>
      </c>
      <c r="AF55" s="343" t="n">
        <f aca="false">SUM(AF33:AF52)</f>
        <v>0</v>
      </c>
      <c r="AG55" s="343" t="n">
        <f aca="false">SUM(AG33:AG52)</f>
        <v>0</v>
      </c>
      <c r="AH55" s="343" t="n">
        <f aca="false">SUM(AH33:AH52)</f>
        <v>0</v>
      </c>
    </row>
    <row r="56" customFormat="false" ht="12.75" hidden="false" customHeight="false" outlineLevel="0" collapsed="false">
      <c r="A56" s="268"/>
      <c r="D56" s="343"/>
      <c r="E56" s="343"/>
      <c r="F56" s="343"/>
      <c r="G56" s="343"/>
      <c r="H56" s="343"/>
      <c r="I56" s="343"/>
      <c r="J56" s="343"/>
      <c r="K56" s="343"/>
      <c r="L56" s="343"/>
      <c r="M56" s="343"/>
      <c r="N56" s="343"/>
      <c r="O56" s="343"/>
      <c r="P56" s="343"/>
      <c r="Q56" s="343"/>
      <c r="R56" s="343"/>
      <c r="S56" s="343"/>
      <c r="T56" s="343"/>
      <c r="U56" s="343"/>
      <c r="V56" s="343"/>
      <c r="W56" s="343"/>
      <c r="X56" s="343"/>
      <c r="Y56" s="343"/>
      <c r="Z56" s="343"/>
      <c r="AA56" s="343"/>
      <c r="AB56" s="343"/>
      <c r="AC56" s="343"/>
      <c r="AD56" s="343"/>
      <c r="AE56" s="343"/>
      <c r="AF56" s="343"/>
      <c r="AG56" s="343"/>
      <c r="AH56" s="343"/>
    </row>
    <row r="57" customFormat="false" ht="12.75" hidden="false" customHeight="false" outlineLevel="0" collapsed="false">
      <c r="A57" s="116" t="s">
        <v>273</v>
      </c>
      <c r="AD57" s="321"/>
      <c r="AE57" s="321"/>
      <c r="AF57" s="321"/>
      <c r="AG57" s="321"/>
      <c r="AH57" s="321"/>
    </row>
    <row r="58" customFormat="false" ht="12.75" hidden="false" customHeight="false" outlineLevel="0" collapsed="false">
      <c r="A58" s="345" t="s">
        <v>274</v>
      </c>
      <c r="D58" s="355" t="n">
        <f aca="false">((Assumptions!$J$14*(Assumptions!$P$10*(1-Assumptions!$J$55))*Assumptions!$J$13/1000000)*'Power Price Assumption'!F39)*D18</f>
        <v>5065.53511320548</v>
      </c>
      <c r="E58" s="355" t="n">
        <f aca="false">((Assumptions!$J$14*(Assumptions!$P$10*(1-Assumptions!$J$55))*Assumptions!$J$13/1000000)*'Power Price Assumption'!G39)</f>
        <v>7577.54228</v>
      </c>
      <c r="F58" s="355" t="n">
        <f aca="false">((Assumptions!$J$14*(Assumptions!$P$10*(1-Assumptions!$J$55))*Assumptions!$J$13/1000000)*'Power Price Assumption'!H39)</f>
        <v>7577.54228</v>
      </c>
      <c r="G58" s="355" t="n">
        <f aca="false">((Assumptions!$J$14*(Assumptions!$P$10*(1-Assumptions!$J$55))*Assumptions!$J$13/1000000)*'Power Price Assumption'!I39)</f>
        <v>7577.54228</v>
      </c>
      <c r="H58" s="355" t="n">
        <f aca="false">((Assumptions!$J$14*(Assumptions!$P$10*(1-Assumptions!$J$55))*Assumptions!$J$13/1000000)*'Power Price Assumption'!J39)</f>
        <v>7577.54228</v>
      </c>
      <c r="I58" s="355" t="n">
        <f aca="false">((Assumptions!$J$14*(Assumptions!$P$10*(1-Assumptions!$J$55))*Assumptions!$J$13/1000000)*'Power Price Assumption'!K39)</f>
        <v>7577.54228</v>
      </c>
      <c r="J58" s="355" t="n">
        <f aca="false">((Assumptions!$J$14*(Assumptions!$P$10*(1-Assumptions!$J$55))*Assumptions!$J$13/1000000)*'Power Price Assumption'!L39)</f>
        <v>7577.54228</v>
      </c>
      <c r="K58" s="355" t="n">
        <f aca="false">((Assumptions!$J$14*(Assumptions!$P$10*(1-Assumptions!$J$55))*Assumptions!$J$13/1000000)*'Power Price Assumption'!M39)</f>
        <v>7577.54228</v>
      </c>
      <c r="L58" s="355" t="n">
        <f aca="false">((Assumptions!$J$14*(Assumptions!$P$10*(1-Assumptions!$J$55))*Assumptions!$J$13/1000000)*'Power Price Assumption'!N39)</f>
        <v>7577.54228</v>
      </c>
      <c r="M58" s="355" t="n">
        <f aca="false">((Assumptions!$J$14*(Assumptions!$P$10*(1-Assumptions!$J$55))*Assumptions!$J$13/1000000)*'Power Price Assumption'!O39)</f>
        <v>7577.54228</v>
      </c>
      <c r="N58" s="355" t="n">
        <f aca="false">((Assumptions!$J$14*(Assumptions!$P$10*(1-Assumptions!$J$55))*Assumptions!$J$13/1000000)*'Power Price Assumption'!P39)</f>
        <v>7577.54228</v>
      </c>
      <c r="O58" s="355" t="n">
        <f aca="false">((Assumptions!$J$14*(Assumptions!$P$10*(1-Assumptions!$J$55))*Assumptions!$J$13/1000000)*'Power Price Assumption'!Q39)</f>
        <v>7577.54228</v>
      </c>
      <c r="P58" s="355" t="n">
        <f aca="false">((Assumptions!$J$14*(Assumptions!$P$10*(1-Assumptions!$J$55))*Assumptions!$J$13/1000000)*'Power Price Assumption'!R39)</f>
        <v>7577.54228</v>
      </c>
      <c r="Q58" s="355" t="n">
        <f aca="false">((Assumptions!$J$14*(Assumptions!$P$10*(1-Assumptions!$J$55))*Assumptions!$J$13/1000000)*'Power Price Assumption'!S39)</f>
        <v>7577.54228</v>
      </c>
      <c r="R58" s="355" t="n">
        <f aca="false">((Assumptions!$J$14*(Assumptions!$P$10*(1-Assumptions!$J$55))*Assumptions!$J$13/1000000)*'Power Price Assumption'!T39)</f>
        <v>7577.54228</v>
      </c>
      <c r="S58" s="355" t="n">
        <f aca="false">((Assumptions!$J$14*(Assumptions!$P$10*(1-Assumptions!$J$55))*Assumptions!$J$13/1000000)*'Power Price Assumption'!U39)</f>
        <v>7577.54228</v>
      </c>
      <c r="T58" s="355" t="n">
        <f aca="false">((Assumptions!$J$14*(Assumptions!$P$10*(1-Assumptions!$J$55))*Assumptions!$J$13/1000000)*'Power Price Assumption'!V39)</f>
        <v>7577.54228</v>
      </c>
      <c r="U58" s="355" t="n">
        <f aca="false">((Assumptions!$J$14*(Assumptions!$P$10*(1-Assumptions!$J$55))*Assumptions!$J$13/1000000)*'Power Price Assumption'!W39)</f>
        <v>7577.54228</v>
      </c>
      <c r="V58" s="355" t="n">
        <f aca="false">((Assumptions!$J$14*(Assumptions!$P$10*(1-Assumptions!$J$55))*Assumptions!$J$13/1000000)*'Power Price Assumption'!X39)</f>
        <v>7577.54228</v>
      </c>
      <c r="W58" s="355" t="n">
        <f aca="false">((Assumptions!$J$14*(Assumptions!$P$10*(1-Assumptions!$J$55))*Assumptions!$J$13/1000000)*'Power Price Assumption'!Y39)</f>
        <v>7577.54228</v>
      </c>
      <c r="X58" s="355" t="n">
        <f aca="false">((Assumptions!$J$14*(Assumptions!$P$10*(1-Assumptions!$J$55))*Assumptions!$J$13/1000000)*'Power Price Assumption'!Z39)</f>
        <v>7577.54228</v>
      </c>
      <c r="Y58" s="355" t="n">
        <f aca="false">((Assumptions!$J$14*(Assumptions!$P$10*(1-Assumptions!$J$55))*Assumptions!$J$13/1000000)*'Power Price Assumption'!AA39)</f>
        <v>7577.54228</v>
      </c>
      <c r="Z58" s="355" t="n">
        <f aca="false">((Assumptions!$J$14*(Assumptions!$P$10*(1-Assumptions!$J$55))*Assumptions!$J$13/1000000)*'Power Price Assumption'!AB39)</f>
        <v>7577.54228</v>
      </c>
      <c r="AA58" s="355" t="n">
        <f aca="false">((Assumptions!$J$14*(Assumptions!$P$10*(1-Assumptions!$J$55))*Assumptions!$J$13/1000000)*'Power Price Assumption'!AC39)</f>
        <v>7577.54228</v>
      </c>
      <c r="AB58" s="355" t="n">
        <f aca="false">((Assumptions!$J$14*(Assumptions!$P$10*(1-Assumptions!$J$55))*Assumptions!$J$13/1000000)*'Power Price Assumption'!AD39)</f>
        <v>7577.54228</v>
      </c>
      <c r="AC58" s="356" t="n">
        <f aca="false">Assumptions!$J$110</f>
        <v>0</v>
      </c>
      <c r="AD58" s="356" t="n">
        <f aca="false">Assumptions!$J$110</f>
        <v>0</v>
      </c>
      <c r="AE58" s="356" t="n">
        <f aca="false">Assumptions!$J$110</f>
        <v>0</v>
      </c>
      <c r="AF58" s="356" t="n">
        <f aca="false">Assumptions!$J$110</f>
        <v>0</v>
      </c>
      <c r="AG58" s="356" t="n">
        <f aca="false">Assumptions!$J$110</f>
        <v>0</v>
      </c>
      <c r="AH58" s="356" t="n">
        <f aca="false">Assumptions!$J$110</f>
        <v>0</v>
      </c>
    </row>
    <row r="59" customFormat="false" ht="12.75" hidden="false" customHeight="false" outlineLevel="0" collapsed="false">
      <c r="A59" s="345" t="s">
        <v>275</v>
      </c>
      <c r="C59" s="357"/>
      <c r="D59" s="355" t="n">
        <f aca="false">((Assumptions!$P$25*12*Assumptions!$J$56)*(D18+D22+D26))</f>
        <v>679.970803726027</v>
      </c>
      <c r="E59" s="355" t="n">
        <f aca="false">((Assumptions!$P$25*12*Assumptions!$J$56)*(E18+E22+E26))</f>
        <v>1017.16944</v>
      </c>
      <c r="F59" s="355" t="n">
        <f aca="false">((Assumptions!$P$25*12*Assumptions!$J$56)*(F18+F22+F26))</f>
        <v>1017.16944</v>
      </c>
      <c r="G59" s="355" t="n">
        <f aca="false">((Assumptions!$P$25*12*Assumptions!$J$56)*(G18+G22+G26))</f>
        <v>1017.16944</v>
      </c>
      <c r="H59" s="355" t="n">
        <f aca="false">((Assumptions!$P$25*12*Assumptions!$J$56)*(H18+H22+H26))</f>
        <v>1017.16944</v>
      </c>
      <c r="I59" s="355" t="n">
        <f aca="false">((Assumptions!$P$25*12*Assumptions!$J$56)*(I18+I22+I26))</f>
        <v>1017.16944</v>
      </c>
      <c r="J59" s="355" t="n">
        <f aca="false">((Assumptions!$P$25*12*Assumptions!$J$56)*(J18+J22+J26))</f>
        <v>1017.16944</v>
      </c>
      <c r="K59" s="355" t="n">
        <f aca="false">((Assumptions!$P$25*12*Assumptions!$J$56)*(K18+K22+K26))</f>
        <v>1017.16944</v>
      </c>
      <c r="L59" s="355" t="n">
        <f aca="false">((Assumptions!$P$25*12*Assumptions!$J$56)*(L18+L22+L26))</f>
        <v>1017.16944</v>
      </c>
      <c r="M59" s="355" t="n">
        <f aca="false">((Assumptions!$P$25*12*Assumptions!$J$56)*(M18+M22+M26))</f>
        <v>1017.16944</v>
      </c>
      <c r="N59" s="355" t="n">
        <f aca="false">((Assumptions!$P$25*12*Assumptions!$J$56)*(N18+N22+N26))</f>
        <v>1017.16944</v>
      </c>
      <c r="O59" s="355" t="n">
        <f aca="false">((Assumptions!$P$25*12*Assumptions!$J$56)*(O18+O22+O26))</f>
        <v>1017.16944</v>
      </c>
      <c r="P59" s="355" t="n">
        <f aca="false">((Assumptions!$P$25*12*Assumptions!$J$56)*(P18+P22+P26))</f>
        <v>1017.16944</v>
      </c>
      <c r="Q59" s="355" t="n">
        <f aca="false">((Assumptions!$P$25*12*Assumptions!$J$56)*(Q18+Q22+Q26))</f>
        <v>1017.16944</v>
      </c>
      <c r="R59" s="355" t="n">
        <f aca="false">((Assumptions!$P$25*12*Assumptions!$J$56)*(R18+R22+R26))</f>
        <v>1017.16944</v>
      </c>
      <c r="S59" s="355" t="n">
        <f aca="false">((Assumptions!$P$25*12*Assumptions!$J$56)*(S18+S22+S26))</f>
        <v>1017.16944</v>
      </c>
      <c r="T59" s="355" t="n">
        <f aca="false">((Assumptions!$P$25*12*Assumptions!$J$56)*(T18+T22+T26))</f>
        <v>1017.16944</v>
      </c>
      <c r="U59" s="355" t="n">
        <f aca="false">((Assumptions!$P$25*12*Assumptions!$J$56)*(U18+U22+U26))</f>
        <v>1017.16944</v>
      </c>
      <c r="V59" s="355" t="n">
        <f aca="false">((Assumptions!$P$25*12*Assumptions!$J$56)*(V18+V22+V26))</f>
        <v>1017.16944</v>
      </c>
      <c r="W59" s="355" t="n">
        <f aca="false">((Assumptions!$P$25*12*Assumptions!$J$56)*(W18+W22+W26))</f>
        <v>1017.16944</v>
      </c>
      <c r="X59" s="355" t="n">
        <f aca="false">((Assumptions!$P$25*12*Assumptions!$J$56)*(X18+X22+X26))</f>
        <v>1017.16944</v>
      </c>
      <c r="Y59" s="355" t="n">
        <f aca="false">((Assumptions!$P$25*12*Assumptions!$J$56)*(Y18+Y22+Y26))</f>
        <v>1017.16944</v>
      </c>
      <c r="Z59" s="355" t="n">
        <f aca="false">((Assumptions!$P$25*12*Assumptions!$J$56)*(Z18+Z22+Z26))</f>
        <v>1017.16944</v>
      </c>
      <c r="AA59" s="355" t="n">
        <f aca="false">((Assumptions!$P$25*12*Assumptions!$J$56)*(AA18+AA22+AA26))</f>
        <v>1017.16944</v>
      </c>
      <c r="AB59" s="355" t="n">
        <f aca="false">((Assumptions!$P$25*12*Assumptions!$J$56)*(AB18+AB22+AB26))</f>
        <v>1017.16944</v>
      </c>
      <c r="AC59" s="355" t="n">
        <f aca="false">AB59*(1+Assumptions!$P$21)</f>
        <v>1017.16944</v>
      </c>
      <c r="AD59" s="355" t="n">
        <f aca="false">AC59*(1+Assumptions!$P$21)</f>
        <v>1017.16944</v>
      </c>
      <c r="AE59" s="355" t="n">
        <f aca="false">AD59*(1+Assumptions!$P$21)</f>
        <v>1017.16944</v>
      </c>
      <c r="AF59" s="355" t="n">
        <f aca="false">AE59*(1+Assumptions!$P$21)</f>
        <v>1017.16944</v>
      </c>
      <c r="AG59" s="355" t="n">
        <f aca="false">AF59*(1+Assumptions!$P$21)</f>
        <v>1017.16944</v>
      </c>
      <c r="AH59" s="355" t="n">
        <f aca="false">AG59*(1+Assumptions!$P$21)</f>
        <v>1017.16944</v>
      </c>
    </row>
    <row r="60" customFormat="false" ht="12.75" hidden="false" customHeight="false" outlineLevel="0" collapsed="false">
      <c r="A60" s="345" t="s">
        <v>276</v>
      </c>
      <c r="C60" s="357"/>
      <c r="D60" s="355" t="n">
        <f aca="false">+(Assumptions!$P$27*Assumptions!$J$56*IS!D13)/1000</f>
        <v>100.01208</v>
      </c>
      <c r="E60" s="355" t="n">
        <f aca="false">+(Assumptions!$P$27*Assumptions!$J$56*IS!E13)/1000</f>
        <v>100.01208</v>
      </c>
      <c r="F60" s="355" t="n">
        <f aca="false">+(Assumptions!$P$27*Assumptions!$J$56*IS!F13)/1000</f>
        <v>100.01208</v>
      </c>
      <c r="G60" s="355" t="n">
        <f aca="false">+(Assumptions!$P$27*Assumptions!$J$56*IS!G13)/1000</f>
        <v>100.01208</v>
      </c>
      <c r="H60" s="355" t="n">
        <f aca="false">+(Assumptions!$P$27*Assumptions!$J$56*IS!H13)/1000</f>
        <v>100.01208</v>
      </c>
      <c r="I60" s="355" t="n">
        <f aca="false">+(Assumptions!$P$27*Assumptions!$J$56*IS!I13)/1000</f>
        <v>100.01208</v>
      </c>
      <c r="J60" s="355" t="n">
        <f aca="false">+(Assumptions!$P$27*Assumptions!$J$56*IS!J13)/1000</f>
        <v>100.01208</v>
      </c>
      <c r="K60" s="355" t="n">
        <f aca="false">+(Assumptions!$P$27*Assumptions!$J$56*IS!K13)/1000</f>
        <v>100.01208</v>
      </c>
      <c r="L60" s="355" t="n">
        <f aca="false">+(Assumptions!$P$27*Assumptions!$J$56*IS!L13)/1000</f>
        <v>100.01208</v>
      </c>
      <c r="M60" s="355" t="n">
        <f aca="false">+(Assumptions!$P$27*Assumptions!$J$56*IS!M13)/1000</f>
        <v>100.01208</v>
      </c>
      <c r="N60" s="355" t="n">
        <f aca="false">+(Assumptions!$P$27*Assumptions!$J$56*IS!N13)/1000</f>
        <v>100.01208</v>
      </c>
      <c r="O60" s="355" t="n">
        <f aca="false">+(Assumptions!$P$27*Assumptions!$J$56*IS!O13)/1000</f>
        <v>100.01208</v>
      </c>
      <c r="P60" s="355" t="n">
        <f aca="false">+(Assumptions!$P$27*Assumptions!$J$56*IS!P13)/1000</f>
        <v>100.01208</v>
      </c>
      <c r="Q60" s="355" t="n">
        <f aca="false">+(Assumptions!$P$27*Assumptions!$J$56*IS!Q13)/1000</f>
        <v>100.01208</v>
      </c>
      <c r="R60" s="355" t="n">
        <f aca="false">+(Assumptions!$P$27*Assumptions!$J$56*IS!R13)/1000</f>
        <v>100.01208</v>
      </c>
      <c r="S60" s="355" t="n">
        <f aca="false">+(Assumptions!$P$27*Assumptions!$J$56*IS!S13)/1000</f>
        <v>100.01208</v>
      </c>
      <c r="T60" s="355" t="n">
        <f aca="false">+(Assumptions!$P$27*Assumptions!$J$56*IS!T13)/1000</f>
        <v>100.01208</v>
      </c>
      <c r="U60" s="355" t="n">
        <f aca="false">+(Assumptions!$P$28*Assumptions!$J$56*IS!U13)/1000</f>
        <v>100.01208</v>
      </c>
      <c r="V60" s="355" t="n">
        <f aca="false">+(Assumptions!$P$28*Assumptions!$J$56*IS!V13)/1000</f>
        <v>100.01208</v>
      </c>
      <c r="W60" s="355" t="n">
        <f aca="false">+(Assumptions!$P$28*Assumptions!$J$56*IS!W13)/1000</f>
        <v>100.01208</v>
      </c>
      <c r="X60" s="355" t="n">
        <f aca="false">+(Assumptions!$P$28*Assumptions!$J$56*IS!X13)/1000</f>
        <v>100.01208</v>
      </c>
      <c r="Y60" s="355" t="n">
        <f aca="false">+(Assumptions!$P$28*Assumptions!$J$56*IS!Y13)/1000</f>
        <v>100.01208</v>
      </c>
      <c r="Z60" s="355" t="n">
        <f aca="false">+(Assumptions!$P$28*Assumptions!$J$56*IS!Z13)/1000</f>
        <v>100.01208</v>
      </c>
      <c r="AA60" s="355" t="n">
        <f aca="false">+(Assumptions!$P$28*Assumptions!$J$56*IS!AA13)/1000</f>
        <v>100.01208</v>
      </c>
      <c r="AB60" s="355" t="n">
        <f aca="false">+(Assumptions!$P$28*Assumptions!$J$56*IS!AB13)/1000</f>
        <v>100.01208</v>
      </c>
      <c r="AC60" s="356" t="n">
        <f aca="false">AB60*(1+Assumptions!$P$21)^(IS!AC7-IS!$D$7)</f>
        <v>100.01208</v>
      </c>
      <c r="AD60" s="356" t="n">
        <f aca="false">AC60*(1+Assumptions!$P$21)^(IS!AD7-IS!$D$7)</f>
        <v>100.01208</v>
      </c>
      <c r="AE60" s="356" t="n">
        <f aca="false">AD60*(1+Assumptions!$P$21)^(IS!AE7-IS!$D$7)</f>
        <v>100.01208</v>
      </c>
      <c r="AF60" s="356" t="n">
        <f aca="false">AE60*(1+Assumptions!$P$21)^(IS!AF7-IS!$D$7)</f>
        <v>100.01208</v>
      </c>
      <c r="AG60" s="356" t="n">
        <f aca="false">AF60*(1+Assumptions!$P$21)^(IS!AG7-IS!$D$7)</f>
        <v>100.01208</v>
      </c>
      <c r="AH60" s="356" t="n">
        <f aca="false">AG60*(1+Assumptions!$P$21)^(IS!AH7-IS!$D$7)</f>
        <v>100.01208</v>
      </c>
    </row>
    <row r="61" customFormat="false" ht="12.75" hidden="false" customHeight="false" outlineLevel="0" collapsed="false">
      <c r="A61" s="345" t="s">
        <v>277</v>
      </c>
      <c r="C61" s="357"/>
      <c r="D61" s="355" t="n">
        <f aca="false">+(Assumptions!$P$29*Assumptions!$J$56*IS!D13)/1000</f>
        <v>398.99104</v>
      </c>
      <c r="E61" s="355" t="n">
        <f aca="false">+(Assumptions!$P$29*Assumptions!$J$56*IS!E13)/1000</f>
        <v>398.99104</v>
      </c>
      <c r="F61" s="355" t="n">
        <f aca="false">+(Assumptions!$P$29*Assumptions!$J$56*IS!F13)/1000</f>
        <v>398.99104</v>
      </c>
      <c r="G61" s="355" t="n">
        <f aca="false">+(Assumptions!$P$29*Assumptions!$J$56*IS!G13)/1000</f>
        <v>398.99104</v>
      </c>
      <c r="H61" s="355" t="n">
        <f aca="false">+(Assumptions!$P$29*Assumptions!$J$56*IS!H13)/1000</f>
        <v>398.99104</v>
      </c>
      <c r="I61" s="355" t="n">
        <f aca="false">+(Assumptions!$P$29*Assumptions!$J$56*IS!I13)/1000</f>
        <v>398.99104</v>
      </c>
      <c r="J61" s="355" t="n">
        <f aca="false">+(Assumptions!$P$29*Assumptions!$J$56*IS!J13)/1000</f>
        <v>398.99104</v>
      </c>
      <c r="K61" s="355" t="n">
        <f aca="false">+(Assumptions!$P$29*Assumptions!$J$56*IS!K13)/1000</f>
        <v>398.99104</v>
      </c>
      <c r="L61" s="355" t="n">
        <f aca="false">+(Assumptions!$P$29*Assumptions!$J$56*IS!L13)/1000</f>
        <v>398.99104</v>
      </c>
      <c r="M61" s="355" t="n">
        <f aca="false">+(Assumptions!$P$29*Assumptions!$J$56*IS!M13)/1000</f>
        <v>398.99104</v>
      </c>
      <c r="N61" s="355" t="n">
        <f aca="false">+(Assumptions!$P$29*Assumptions!$J$56*IS!N13)/1000</f>
        <v>398.99104</v>
      </c>
      <c r="O61" s="355" t="n">
        <f aca="false">+(Assumptions!$P$29*Assumptions!$J$56*IS!O13)/1000</f>
        <v>398.99104</v>
      </c>
      <c r="P61" s="355" t="n">
        <f aca="false">+(Assumptions!$P$29*Assumptions!$J$56*IS!P13)/1000</f>
        <v>398.99104</v>
      </c>
      <c r="Q61" s="355" t="n">
        <f aca="false">+(Assumptions!$P$29*Assumptions!$J$56*IS!Q13)/1000</f>
        <v>398.99104</v>
      </c>
      <c r="R61" s="355" t="n">
        <f aca="false">+(Assumptions!$P$29*Assumptions!$J$56*IS!R13)/1000</f>
        <v>398.99104</v>
      </c>
      <c r="S61" s="355" t="n">
        <f aca="false">+(Assumptions!$P$29*Assumptions!$J$56*IS!S13)/1000</f>
        <v>398.99104</v>
      </c>
      <c r="T61" s="355" t="n">
        <f aca="false">+(Assumptions!$P$29*Assumptions!$J$56*IS!T13)/1000</f>
        <v>398.99104</v>
      </c>
      <c r="U61" s="355" t="n">
        <f aca="false">+(Assumptions!$P$29*Assumptions!$J$56*IS!U13)/1000</f>
        <v>398.99104</v>
      </c>
      <c r="V61" s="355" t="n">
        <f aca="false">+(Assumptions!$P$29*Assumptions!$J$56*IS!V13)/1000</f>
        <v>398.99104</v>
      </c>
      <c r="W61" s="355" t="n">
        <f aca="false">+(Assumptions!$P$29*Assumptions!$J$56*IS!W13)/1000</f>
        <v>398.99104</v>
      </c>
      <c r="X61" s="355" t="n">
        <f aca="false">+(Assumptions!$P$29*Assumptions!$J$56*IS!X13)/1000</f>
        <v>398.99104</v>
      </c>
      <c r="Y61" s="355" t="n">
        <f aca="false">+(Assumptions!$P$29*Assumptions!$J$56*IS!Y13)/1000</f>
        <v>398.99104</v>
      </c>
      <c r="Z61" s="355" t="n">
        <f aca="false">+(Assumptions!$P$29*Assumptions!$J$56*IS!Z13)/1000</f>
        <v>398.99104</v>
      </c>
      <c r="AA61" s="355" t="n">
        <f aca="false">+(Assumptions!$P$29*Assumptions!$J$56*IS!AA13)/1000</f>
        <v>398.99104</v>
      </c>
      <c r="AB61" s="355" t="n">
        <f aca="false">+(Assumptions!$P$29*Assumptions!$J$56*IS!AB13)/1000</f>
        <v>398.99104</v>
      </c>
      <c r="AC61" s="347" t="n">
        <v>844.9914</v>
      </c>
      <c r="AD61" s="347" t="n">
        <v>844.9914</v>
      </c>
      <c r="AE61" s="347" t="n">
        <v>844.9914</v>
      </c>
      <c r="AF61" s="347" t="n">
        <v>844.9914</v>
      </c>
      <c r="AG61" s="347" t="n">
        <v>844.9914</v>
      </c>
      <c r="AH61" s="347" t="n">
        <v>844.9914</v>
      </c>
    </row>
    <row r="62" customFormat="false" ht="12.75" hidden="false" customHeight="false" outlineLevel="0" collapsed="false">
      <c r="A62" s="345" t="s">
        <v>122</v>
      </c>
      <c r="C62" s="357"/>
      <c r="D62" s="355" t="n">
        <f aca="false">Assumptions!$P30*Assumptions!J17/12</f>
        <v>106.858630136986</v>
      </c>
      <c r="E62" s="355" t="n">
        <f aca="false">Assumptions!$P30*(1+Assumptions!$P$21)</f>
        <v>159.85</v>
      </c>
      <c r="F62" s="355" t="n">
        <f aca="false">E62*(1+Assumptions!$P$21)</f>
        <v>159.85</v>
      </c>
      <c r="G62" s="355" t="n">
        <f aca="false">F62*(1+Assumptions!$P$21)</f>
        <v>159.85</v>
      </c>
      <c r="H62" s="355" t="n">
        <f aca="false">G62*(1+Assumptions!$P$21)</f>
        <v>159.85</v>
      </c>
      <c r="I62" s="355" t="n">
        <f aca="false">H62*(1+Assumptions!$P$21)</f>
        <v>159.85</v>
      </c>
      <c r="J62" s="355" t="n">
        <f aca="false">I62*(1+Assumptions!$P$21)</f>
        <v>159.85</v>
      </c>
      <c r="K62" s="355" t="n">
        <f aca="false">J62*(1+Assumptions!$P$21)</f>
        <v>159.85</v>
      </c>
      <c r="L62" s="355" t="n">
        <f aca="false">K62*(1+Assumptions!$P$21)</f>
        <v>159.85</v>
      </c>
      <c r="M62" s="355" t="n">
        <f aca="false">L62*(1+Assumptions!$P$21)</f>
        <v>159.85</v>
      </c>
      <c r="N62" s="355" t="n">
        <f aca="false">M62*(1+Assumptions!$P$21)</f>
        <v>159.85</v>
      </c>
      <c r="O62" s="355" t="n">
        <f aca="false">N62*(1+Assumptions!$P$21)</f>
        <v>159.85</v>
      </c>
      <c r="P62" s="355" t="n">
        <f aca="false">O62*(1+Assumptions!$P$21)</f>
        <v>159.85</v>
      </c>
      <c r="Q62" s="355" t="n">
        <f aca="false">P62*(1+Assumptions!$P$21)</f>
        <v>159.85</v>
      </c>
      <c r="R62" s="355" t="n">
        <f aca="false">Q62*(1+Assumptions!$P$21)</f>
        <v>159.85</v>
      </c>
      <c r="S62" s="355" t="n">
        <f aca="false">R62*(1+Assumptions!$P$21)</f>
        <v>159.85</v>
      </c>
      <c r="T62" s="355" t="n">
        <f aca="false">S62*(1+Assumptions!$P$21)</f>
        <v>159.85</v>
      </c>
      <c r="U62" s="355" t="n">
        <f aca="false">T62*(1+Assumptions!$P$21)</f>
        <v>159.85</v>
      </c>
      <c r="V62" s="355" t="n">
        <f aca="false">U62*(1+Assumptions!$P$21)</f>
        <v>159.85</v>
      </c>
      <c r="W62" s="355" t="n">
        <f aca="false">V62*(1+Assumptions!$P$21)</f>
        <v>159.85</v>
      </c>
      <c r="X62" s="355" t="n">
        <f aca="false">W62*(1+Assumptions!$P$21)</f>
        <v>159.85</v>
      </c>
      <c r="Y62" s="355" t="n">
        <f aca="false">X62*(1+Assumptions!$P$21)</f>
        <v>159.85</v>
      </c>
      <c r="Z62" s="355" t="n">
        <f aca="false">Y62*(1+Assumptions!$P$21)</f>
        <v>159.85</v>
      </c>
      <c r="AA62" s="355" t="n">
        <f aca="false">Z62*(1+Assumptions!$P$21)</f>
        <v>159.85</v>
      </c>
      <c r="AB62" s="355" t="n">
        <f aca="false">AA62*(1+Assumptions!$P$21)</f>
        <v>159.85</v>
      </c>
      <c r="AC62" s="355" t="n">
        <f aca="false">AB62*(1+Assumptions!$P$21)</f>
        <v>159.85</v>
      </c>
      <c r="AD62" s="355" t="n">
        <f aca="false">AC62*(1+Assumptions!$P$21)</f>
        <v>159.85</v>
      </c>
      <c r="AE62" s="355" t="n">
        <f aca="false">AD62*(1+Assumptions!$P$21)</f>
        <v>159.85</v>
      </c>
      <c r="AF62" s="355" t="n">
        <f aca="false">AE62*(1+Assumptions!$P$21)</f>
        <v>159.85</v>
      </c>
      <c r="AG62" s="355" t="n">
        <f aca="false">AF62*(1+Assumptions!$P$21)</f>
        <v>159.85</v>
      </c>
      <c r="AH62" s="355" t="n">
        <f aca="false">AG62*(1+Assumptions!$P$21)</f>
        <v>159.85</v>
      </c>
    </row>
    <row r="63" customFormat="false" ht="12.75" hidden="false" customHeight="false" outlineLevel="0" collapsed="false">
      <c r="A63" s="345" t="s">
        <v>278</v>
      </c>
      <c r="C63" s="357"/>
      <c r="D63" s="355" t="n">
        <f aca="false">+Assumptions!$P$31*Assumptions!$P$10*(SUM(IS!D18+IS!D22+IS!D26))</f>
        <v>234.99431716217</v>
      </c>
      <c r="E63" s="355" t="n">
        <f aca="false">+Assumptions!$P$31*Assumptions!$P$10*(SUM(IS!E18+IS!E22+IS!E26))</f>
        <v>351.528384279476</v>
      </c>
      <c r="F63" s="355" t="n">
        <f aca="false">+Assumptions!$P$31*Assumptions!$P$10*(SUM(IS!F18+IS!F22+IS!F26))</f>
        <v>351.528384279476</v>
      </c>
      <c r="G63" s="355" t="n">
        <f aca="false">+Assumptions!$P$31*Assumptions!$P$10*(SUM(IS!G18+IS!G22+IS!G26))</f>
        <v>351.528384279476</v>
      </c>
      <c r="H63" s="355" t="n">
        <f aca="false">+Assumptions!$P$31*Assumptions!$P$10*(SUM(IS!H18+IS!H22+IS!H26))</f>
        <v>351.528384279476</v>
      </c>
      <c r="I63" s="355" t="n">
        <f aca="false">+Assumptions!$P$31*Assumptions!$P$10*(SUM(IS!I18+IS!I22+IS!I26))</f>
        <v>351.528384279476</v>
      </c>
      <c r="J63" s="355" t="n">
        <f aca="false">+Assumptions!$P$31*Assumptions!$P$10*(SUM(IS!J18+IS!J22+IS!J26))</f>
        <v>351.528384279476</v>
      </c>
      <c r="K63" s="355" t="n">
        <f aca="false">+Assumptions!$P$31*Assumptions!$P$10*(SUM(IS!K18+IS!K22+IS!K26))</f>
        <v>351.528384279476</v>
      </c>
      <c r="L63" s="355" t="n">
        <f aca="false">+Assumptions!$P$31*Assumptions!$P$10*(SUM(IS!L18+IS!L22+IS!L26))</f>
        <v>351.528384279476</v>
      </c>
      <c r="M63" s="355" t="n">
        <f aca="false">+Assumptions!$P$31*Assumptions!$P$10*(SUM(IS!M18+IS!M22+IS!M26))</f>
        <v>351.528384279476</v>
      </c>
      <c r="N63" s="355" t="n">
        <f aca="false">+Assumptions!$P$31*Assumptions!$P$10*(SUM(IS!N18+IS!N22+IS!N26))</f>
        <v>351.528384279476</v>
      </c>
      <c r="O63" s="355" t="n">
        <f aca="false">+Assumptions!$P$31*Assumptions!$P$10*(SUM(IS!O18+IS!O22+IS!O26))</f>
        <v>351.528384279476</v>
      </c>
      <c r="P63" s="355" t="n">
        <f aca="false">+Assumptions!$P$31*Assumptions!$P$10*(SUM(IS!P18+IS!P22+IS!P26))</f>
        <v>351.528384279476</v>
      </c>
      <c r="Q63" s="355" t="n">
        <f aca="false">+Assumptions!$P$31*Assumptions!$P$10*(SUM(IS!Q18+IS!Q22+IS!Q26))</f>
        <v>351.528384279476</v>
      </c>
      <c r="R63" s="355" t="n">
        <f aca="false">+Assumptions!$P$31*Assumptions!$P$10*(SUM(IS!R18+IS!R22+IS!R26))</f>
        <v>351.528384279476</v>
      </c>
      <c r="S63" s="355" t="n">
        <f aca="false">+Assumptions!$P$31*Assumptions!$P$10*(SUM(IS!S18+IS!S22+IS!S26))</f>
        <v>351.528384279476</v>
      </c>
      <c r="T63" s="355" t="n">
        <f aca="false">+Assumptions!$P$31*Assumptions!$P$10*(SUM(IS!T18+IS!T22+IS!T26))</f>
        <v>351.528384279476</v>
      </c>
      <c r="U63" s="355" t="n">
        <f aca="false">+Assumptions!$P$31*Assumptions!$P$10*(SUM(IS!U18+IS!U22+IS!U26))</f>
        <v>351.528384279476</v>
      </c>
      <c r="V63" s="355" t="n">
        <f aca="false">+Assumptions!$P$31*Assumptions!$P$10*(SUM(IS!V18+IS!V22+IS!V26))</f>
        <v>351.528384279476</v>
      </c>
      <c r="W63" s="355" t="n">
        <f aca="false">+Assumptions!$P$31*Assumptions!$P$10*(SUM(IS!W18+IS!W22+IS!W26))</f>
        <v>351.528384279476</v>
      </c>
      <c r="X63" s="355" t="n">
        <f aca="false">+Assumptions!$P$31*Assumptions!$P$10*(SUM(IS!X18+IS!X22+IS!X26))</f>
        <v>351.528384279476</v>
      </c>
      <c r="Y63" s="355" t="n">
        <f aca="false">+Assumptions!$P$31*Assumptions!$P$10*(SUM(IS!Y18+IS!Y22+IS!Y26))</f>
        <v>351.528384279476</v>
      </c>
      <c r="Z63" s="355" t="n">
        <f aca="false">+Assumptions!$P$31*Assumptions!$P$10*(SUM(IS!Z18+IS!Z22+IS!Z26))</f>
        <v>351.528384279476</v>
      </c>
      <c r="AA63" s="355" t="n">
        <f aca="false">+Assumptions!$P$31*Assumptions!$P$10*(SUM(IS!AA18+IS!AA22+IS!AA26))</f>
        <v>351.528384279476</v>
      </c>
      <c r="AB63" s="355" t="n">
        <f aca="false">+Assumptions!$P$31*Assumptions!$P$10*(SUM(IS!AB18+IS!AB22+IS!AB26))</f>
        <v>351.528384279476</v>
      </c>
      <c r="AC63" s="355" t="n">
        <f aca="false">AB63*(1+Assumptions!$P$21)</f>
        <v>351.528384279476</v>
      </c>
      <c r="AD63" s="355" t="n">
        <f aca="false">AC63*(1+Assumptions!$P$21)</f>
        <v>351.528384279476</v>
      </c>
      <c r="AE63" s="355" t="n">
        <f aca="false">AD63*(1+Assumptions!$P$21)</f>
        <v>351.528384279476</v>
      </c>
      <c r="AF63" s="355" t="n">
        <f aca="false">AE63*(1+Assumptions!$P$21)</f>
        <v>351.528384279476</v>
      </c>
      <c r="AG63" s="355" t="n">
        <f aca="false">AF63*(1+Assumptions!$P$21)</f>
        <v>351.528384279476</v>
      </c>
      <c r="AH63" s="355" t="n">
        <f aca="false">AG63*(1+Assumptions!$P$21)</f>
        <v>351.528384279476</v>
      </c>
    </row>
    <row r="64" customFormat="false" ht="12.75" hidden="false" customHeight="false" outlineLevel="0" collapsed="false">
      <c r="A64" s="345" t="s">
        <v>279</v>
      </c>
      <c r="C64" s="357"/>
      <c r="D64" s="355" t="n">
        <f aca="false">+(Assumptions!$P$14*Assumptions!$Q$14)/1000</f>
        <v>28</v>
      </c>
      <c r="E64" s="355" t="n">
        <f aca="false">+(Assumptions!$P$14*Assumptions!$Q$14)/1000</f>
        <v>28</v>
      </c>
      <c r="F64" s="355" t="n">
        <f aca="false">+(Assumptions!$P$14*Assumptions!$Q$14)/1000</f>
        <v>28</v>
      </c>
      <c r="G64" s="355" t="n">
        <f aca="false">+(Assumptions!$P$14*Assumptions!$Q$14)/1000</f>
        <v>28</v>
      </c>
      <c r="H64" s="355" t="n">
        <f aca="false">+(Assumptions!$P$14*Assumptions!$Q$14)/1000</f>
        <v>28</v>
      </c>
      <c r="I64" s="355" t="n">
        <f aca="false">+(Assumptions!$P$14*Assumptions!$Q$14)/1000</f>
        <v>28</v>
      </c>
      <c r="J64" s="355" t="n">
        <f aca="false">+(Assumptions!$P$14*Assumptions!$Q$14)/1000</f>
        <v>28</v>
      </c>
      <c r="K64" s="355" t="n">
        <f aca="false">+(Assumptions!$P$14*Assumptions!$Q$14)/1000</f>
        <v>28</v>
      </c>
      <c r="L64" s="355" t="n">
        <f aca="false">+(Assumptions!$P$14*Assumptions!$Q$14)/1000</f>
        <v>28</v>
      </c>
      <c r="M64" s="355" t="n">
        <f aca="false">+(Assumptions!$P$14*Assumptions!$Q$14)/1000</f>
        <v>28</v>
      </c>
      <c r="N64" s="355" t="n">
        <f aca="false">+(Assumptions!$P$14*Assumptions!$Q$14)/1000</f>
        <v>28</v>
      </c>
      <c r="O64" s="355" t="n">
        <f aca="false">+(Assumptions!$P$14*Assumptions!$Q$14)/1000</f>
        <v>28</v>
      </c>
      <c r="P64" s="355" t="n">
        <f aca="false">+(Assumptions!$P$14*Assumptions!$Q$14)/1000</f>
        <v>28</v>
      </c>
      <c r="Q64" s="355" t="n">
        <f aca="false">+(Assumptions!$P$14*Assumptions!$Q$14)/1000</f>
        <v>28</v>
      </c>
      <c r="R64" s="355" t="n">
        <f aca="false">+(Assumptions!$P$14*Assumptions!$Q$14)/1000</f>
        <v>28</v>
      </c>
      <c r="S64" s="355" t="n">
        <f aca="false">+(Assumptions!$P$14*Assumptions!$Q$14)/1000</f>
        <v>28</v>
      </c>
      <c r="T64" s="355" t="n">
        <f aca="false">+(Assumptions!$P$14*Assumptions!$Q$14)/1000</f>
        <v>28</v>
      </c>
      <c r="U64" s="355" t="n">
        <f aca="false">+(Assumptions!$P$14*Assumptions!$Q$14)/1000</f>
        <v>28</v>
      </c>
      <c r="V64" s="355" t="n">
        <f aca="false">+(Assumptions!$P$14*Assumptions!$Q$14)/1000</f>
        <v>28</v>
      </c>
      <c r="W64" s="355" t="n">
        <f aca="false">+(Assumptions!$P$14*Assumptions!$Q$14)/1000</f>
        <v>28</v>
      </c>
      <c r="X64" s="355" t="n">
        <f aca="false">+(Assumptions!$P$14*Assumptions!$Q$14)/1000</f>
        <v>28</v>
      </c>
      <c r="Y64" s="355" t="n">
        <f aca="false">+(Assumptions!$P$14*Assumptions!$Q$14)/1000</f>
        <v>28</v>
      </c>
      <c r="Z64" s="355" t="n">
        <f aca="false">+(Assumptions!$P$14*Assumptions!$Q$14)/1000</f>
        <v>28</v>
      </c>
      <c r="AA64" s="355" t="n">
        <f aca="false">+(Assumptions!$P$14*Assumptions!$Q$14)/1000</f>
        <v>28</v>
      </c>
      <c r="AB64" s="355" t="n">
        <f aca="false">+(Assumptions!$P$14*Assumptions!$Q$14)/1000</f>
        <v>28</v>
      </c>
      <c r="AC64" s="355" t="n">
        <f aca="false">AB64*(1+Assumptions!$P$21)</f>
        <v>28</v>
      </c>
      <c r="AD64" s="355" t="n">
        <f aca="false">AC64*(1+Assumptions!$P$21)</f>
        <v>28</v>
      </c>
      <c r="AE64" s="355" t="n">
        <f aca="false">AD64*(1+Assumptions!$P$21)</f>
        <v>28</v>
      </c>
      <c r="AF64" s="355" t="n">
        <f aca="false">AE64*(1+Assumptions!$P$21)</f>
        <v>28</v>
      </c>
      <c r="AG64" s="355" t="n">
        <f aca="false">AF64*(1+Assumptions!$P$21)</f>
        <v>28</v>
      </c>
      <c r="AH64" s="355" t="n">
        <f aca="false">AG64*(1+Assumptions!$P$21)</f>
        <v>28</v>
      </c>
    </row>
    <row r="65" customFormat="false" ht="14.25" hidden="false" customHeight="true" outlineLevel="0" collapsed="false">
      <c r="A65" s="345" t="s">
        <v>280</v>
      </c>
      <c r="C65" s="357"/>
      <c r="D65" s="355" t="n">
        <f aca="false">(Assumptions!$P$39)</f>
        <v>10</v>
      </c>
      <c r="E65" s="355" t="n">
        <f aca="false">(Assumptions!$P$39)</f>
        <v>10</v>
      </c>
      <c r="F65" s="355" t="n">
        <f aca="false">(Assumptions!$P$39)</f>
        <v>10</v>
      </c>
      <c r="G65" s="355" t="n">
        <f aca="false">(Assumptions!$P$39)</f>
        <v>10</v>
      </c>
      <c r="H65" s="355" t="n">
        <f aca="false">(Assumptions!$P$39)</f>
        <v>10</v>
      </c>
      <c r="I65" s="355" t="n">
        <f aca="false">(Assumptions!$P$39)</f>
        <v>10</v>
      </c>
      <c r="J65" s="355" t="n">
        <f aca="false">(Assumptions!$P$39)</f>
        <v>10</v>
      </c>
      <c r="K65" s="355" t="n">
        <f aca="false">(Assumptions!$P$39)</f>
        <v>10</v>
      </c>
      <c r="L65" s="355" t="n">
        <f aca="false">(Assumptions!$P$39)</f>
        <v>10</v>
      </c>
      <c r="M65" s="355" t="n">
        <f aca="false">(Assumptions!$P$39)</f>
        <v>10</v>
      </c>
      <c r="N65" s="355" t="n">
        <f aca="false">(Assumptions!$P$39)</f>
        <v>10</v>
      </c>
      <c r="O65" s="355" t="n">
        <f aca="false">(Assumptions!$P$39)</f>
        <v>10</v>
      </c>
      <c r="P65" s="355" t="n">
        <f aca="false">(Assumptions!$P$39)</f>
        <v>10</v>
      </c>
      <c r="Q65" s="355" t="n">
        <f aca="false">(Assumptions!$P$39)</f>
        <v>10</v>
      </c>
      <c r="R65" s="355" t="n">
        <f aca="false">(Assumptions!$P$39)</f>
        <v>10</v>
      </c>
      <c r="S65" s="355" t="n">
        <f aca="false">(Assumptions!$P$39)</f>
        <v>10</v>
      </c>
      <c r="T65" s="355" t="n">
        <f aca="false">(Assumptions!$P$39)</f>
        <v>10</v>
      </c>
      <c r="U65" s="355" t="n">
        <f aca="false">(Assumptions!$P$39)</f>
        <v>10</v>
      </c>
      <c r="V65" s="355" t="n">
        <f aca="false">(Assumptions!$P$39)</f>
        <v>10</v>
      </c>
      <c r="W65" s="355" t="n">
        <f aca="false">(Assumptions!$P$39)</f>
        <v>10</v>
      </c>
      <c r="X65" s="355" t="n">
        <f aca="false">(Assumptions!$P$39)</f>
        <v>10</v>
      </c>
      <c r="Y65" s="355" t="n">
        <f aca="false">(Assumptions!$P$39)</f>
        <v>10</v>
      </c>
      <c r="Z65" s="355" t="n">
        <f aca="false">(Assumptions!$P$39)</f>
        <v>10</v>
      </c>
      <c r="AA65" s="355" t="n">
        <f aca="false">(Assumptions!$P$39)</f>
        <v>10</v>
      </c>
      <c r="AB65" s="355" t="n">
        <f aca="false">(Assumptions!$P$39)</f>
        <v>10</v>
      </c>
      <c r="AC65" s="347" t="n">
        <v>0</v>
      </c>
      <c r="AD65" s="347" t="n">
        <v>0</v>
      </c>
      <c r="AE65" s="347" t="n">
        <v>0</v>
      </c>
      <c r="AF65" s="347" t="n">
        <v>0</v>
      </c>
      <c r="AG65" s="347" t="n">
        <v>0</v>
      </c>
      <c r="AH65" s="347" t="n">
        <v>0</v>
      </c>
    </row>
    <row r="66" customFormat="false" ht="12.75" hidden="false" customHeight="false" outlineLevel="0" collapsed="false">
      <c r="A66" s="39" t="s">
        <v>216</v>
      </c>
      <c r="C66" s="357"/>
      <c r="D66" s="355" t="n">
        <f aca="false">IF(D8&lt;Assumptions!F54,Assumptions!$C$71*Assumptions!$C$70*(13-MONTH(Assumptions!$C$48))/12," ")</f>
        <v>0</v>
      </c>
      <c r="E66" s="355" t="n">
        <f aca="false">IF(E8&lt;Assumptions!$F$54,Assumptions!$C$71*Assumptions!$C$70,0)</f>
        <v>0</v>
      </c>
      <c r="F66" s="355" t="n">
        <f aca="false">IF(F8&lt;Assumptions!$F$54,Assumptions!$C$71*Assumptions!$C$70,0)</f>
        <v>0</v>
      </c>
      <c r="G66" s="355" t="n">
        <f aca="false">IF(G8&lt;Assumptions!$F$54,Assumptions!$C$71*Assumptions!$C$70,0)</f>
        <v>0</v>
      </c>
      <c r="H66" s="355" t="n">
        <f aca="false">IF(H8&lt;Assumptions!$F$54,Assumptions!$C$71*Assumptions!$C$70,0)</f>
        <v>0</v>
      </c>
      <c r="I66" s="355" t="n">
        <f aca="false">IF(I8&lt;Assumptions!$F$54,Assumptions!$C$71*Assumptions!$C$70,0)</f>
        <v>0</v>
      </c>
      <c r="J66" s="355" t="n">
        <f aca="false">IF(J8&lt;Assumptions!$F$54,Assumptions!$C$71*Assumptions!$C$70,0)</f>
        <v>0</v>
      </c>
      <c r="K66" s="355" t="n">
        <f aca="false">IF(K8&lt;Assumptions!$F$54,Assumptions!$C$71*Assumptions!$C$70,0)</f>
        <v>0</v>
      </c>
      <c r="L66" s="355" t="n">
        <f aca="false">IF(L8&lt;Assumptions!$F$54,Assumptions!$C$71*Assumptions!$C$70,0)</f>
        <v>0</v>
      </c>
      <c r="M66" s="355" t="n">
        <f aca="false">IF(M8&lt;Assumptions!$F$54,Assumptions!$C$71*Assumptions!$C$70,0)</f>
        <v>0</v>
      </c>
      <c r="N66" s="355" t="n">
        <f aca="false">IF(N8&lt;Assumptions!$F$54,Assumptions!$C$71*Assumptions!$C$70,0)</f>
        <v>0</v>
      </c>
      <c r="O66" s="355" t="n">
        <f aca="false">IF(O8&lt;Assumptions!$F$54,Assumptions!$C$71*Assumptions!$C$70,0)</f>
        <v>0</v>
      </c>
      <c r="P66" s="355" t="n">
        <f aca="false">IF(P8&lt;Assumptions!$F$54,Assumptions!$C$71*Assumptions!$C$70,0)</f>
        <v>0</v>
      </c>
      <c r="Q66" s="355" t="n">
        <f aca="false">IF(Q8&lt;Assumptions!$F$54,Assumptions!$C$71*Assumptions!$C$70,0)</f>
        <v>0</v>
      </c>
      <c r="R66" s="355" t="n">
        <f aca="false">IF(R8&lt;Assumptions!$F$54,Assumptions!$C$71*Assumptions!$C$70,0)</f>
        <v>0</v>
      </c>
      <c r="S66" s="355" t="n">
        <f aca="false">IF(S8&lt;Assumptions!$F$54,Assumptions!$C$71*Assumptions!$C$70,0)</f>
        <v>0</v>
      </c>
      <c r="T66" s="355" t="n">
        <f aca="false">IF(T8&lt;Assumptions!$F$54,Assumptions!$C$71*Assumptions!$C$70,0)</f>
        <v>0</v>
      </c>
      <c r="U66" s="355" t="n">
        <f aca="false">IF(U8&lt;Assumptions!$F$54,Assumptions!$C$71*Assumptions!$C$70,0)</f>
        <v>0</v>
      </c>
      <c r="V66" s="355" t="n">
        <f aca="false">IF(V8&lt;Assumptions!$F$54,Assumptions!$C$71*Assumptions!$C$70,0)</f>
        <v>0</v>
      </c>
      <c r="W66" s="355" t="n">
        <f aca="false">IF(W8&lt;Assumptions!$F$54,Assumptions!$C$71*Assumptions!$C$70,0)</f>
        <v>0</v>
      </c>
      <c r="X66" s="355" t="n">
        <f aca="false">IF(X8&lt;Assumptions!$F$54,Assumptions!$C$71*Assumptions!$C$70,0)</f>
        <v>0</v>
      </c>
      <c r="Y66" s="355" t="n">
        <f aca="false">IF(Y8&lt;Assumptions!$F$54,Assumptions!$C$71*Assumptions!$C$70,0)</f>
        <v>0</v>
      </c>
      <c r="Z66" s="355" t="n">
        <f aca="false">IF(Z8&lt;Assumptions!$F$54,Assumptions!$C$71*Assumptions!$C$70,0)</f>
        <v>0</v>
      </c>
      <c r="AA66" s="355" t="n">
        <f aca="false">IF(AA8&lt;Assumptions!$F$54,Assumptions!$C$71*Assumptions!$C$70,0)</f>
        <v>0</v>
      </c>
      <c r="AB66" s="355" t="n">
        <f aca="false">IF(AB8&lt;Assumptions!$F$54,Assumptions!$C$71*Assumptions!$C$70,0)</f>
        <v>0</v>
      </c>
      <c r="AC66" s="355" t="n">
        <f aca="false">IF(AC8&lt;Assumptions!$F$54,Assumptions!$C$71*Assumptions!$C$70,0)</f>
        <v>0</v>
      </c>
      <c r="AD66" s="355" t="n">
        <f aca="false">IF(AD8&lt;Assumptions!$F$54,Assumptions!$C$71*Assumptions!$C$70,0)</f>
        <v>0</v>
      </c>
      <c r="AE66" s="355" t="n">
        <f aca="false">IF(AE8&lt;Assumptions!$F$54,Assumptions!$C$71*Assumptions!$C$70,0)</f>
        <v>0</v>
      </c>
      <c r="AF66" s="355" t="n">
        <f aca="false">IF(AF8&lt;Assumptions!$F$54,Assumptions!$C$71*Assumptions!$C$70,0)</f>
        <v>0</v>
      </c>
      <c r="AG66" s="355" t="n">
        <f aca="false">IF(AG8&lt;Assumptions!$F$54,Assumptions!$C$71*Assumptions!$C$70,0)</f>
        <v>0</v>
      </c>
      <c r="AH66" s="355" t="n">
        <f aca="false">IF(AH8&lt;Assumptions!$F$54,Assumptions!$C$71*Assumptions!$C$70,0)</f>
        <v>0</v>
      </c>
      <c r="AI66" s="358"/>
      <c r="AJ66" s="358"/>
      <c r="AK66" s="358"/>
      <c r="AL66" s="358"/>
      <c r="AM66" s="358"/>
      <c r="AN66" s="358"/>
      <c r="AO66" s="358"/>
      <c r="AP66" s="358"/>
      <c r="AQ66" s="358"/>
      <c r="AR66" s="358"/>
      <c r="AS66" s="358"/>
      <c r="AT66" s="358"/>
      <c r="AU66" s="358"/>
      <c r="AV66" s="358"/>
    </row>
    <row r="67" customFormat="false" ht="12.75" hidden="false" customHeight="false" outlineLevel="0" collapsed="false">
      <c r="A67" s="39" t="s">
        <v>131</v>
      </c>
      <c r="C67" s="357"/>
      <c r="D67" s="355" t="n">
        <v>0</v>
      </c>
      <c r="E67" s="355" t="n">
        <v>0</v>
      </c>
      <c r="F67" s="355" t="n">
        <v>0</v>
      </c>
      <c r="G67" s="355" t="n">
        <v>0</v>
      </c>
      <c r="H67" s="334" t="n">
        <f aca="false">Assumptions!$Q$33*Assumptions!$J$55*7</f>
        <v>0</v>
      </c>
      <c r="I67" s="334" t="n">
        <f aca="false">Assumptions!$Q$33*Assumptions!$J$55*12*(1+Assumptions!P21)</f>
        <v>0</v>
      </c>
      <c r="J67" s="334" t="n">
        <f aca="false">I67*(1+Assumptions!$P$21)</f>
        <v>0</v>
      </c>
      <c r="K67" s="334" t="n">
        <f aca="false">J67*(1+Assumptions!$P$21)</f>
        <v>0</v>
      </c>
      <c r="L67" s="334" t="n">
        <f aca="false">K67*(1+Assumptions!$P$21)</f>
        <v>0</v>
      </c>
      <c r="M67" s="334" t="n">
        <f aca="false">L67*(1+Assumptions!$P$21)</f>
        <v>0</v>
      </c>
      <c r="N67" s="334" t="n">
        <f aca="false">M67*(1+Assumptions!$P$21)</f>
        <v>0</v>
      </c>
      <c r="O67" s="334" t="n">
        <f aca="false">N67*(1+Assumptions!$P$21)</f>
        <v>0</v>
      </c>
      <c r="P67" s="334" t="n">
        <f aca="false">O67*(1+Assumptions!$P$21)</f>
        <v>0</v>
      </c>
      <c r="Q67" s="334" t="n">
        <f aca="false">P67*(1+Assumptions!$P$21)</f>
        <v>0</v>
      </c>
      <c r="R67" s="334" t="n">
        <f aca="false">Q67*(1+Assumptions!$P$21)</f>
        <v>0</v>
      </c>
      <c r="S67" s="334" t="n">
        <f aca="false">R67*(1+Assumptions!$P$21)</f>
        <v>0</v>
      </c>
      <c r="T67" s="334" t="n">
        <f aca="false">S67*(1+Assumptions!$P$21)</f>
        <v>0</v>
      </c>
      <c r="U67" s="334" t="n">
        <f aca="false">T67*(1+Assumptions!$P$21)</f>
        <v>0</v>
      </c>
      <c r="V67" s="334" t="n">
        <f aca="false">U67*(1+Assumptions!$P$21)</f>
        <v>0</v>
      </c>
      <c r="W67" s="334" t="n">
        <f aca="false">V67*(1+Assumptions!$P$21)</f>
        <v>0</v>
      </c>
      <c r="X67" s="334" t="n">
        <f aca="false">W67*(1+Assumptions!$P$21)</f>
        <v>0</v>
      </c>
      <c r="Y67" s="334" t="n">
        <f aca="false">X67*(1+Assumptions!$P$21)</f>
        <v>0</v>
      </c>
      <c r="Z67" s="334" t="n">
        <f aca="false">Y67*(1+Assumptions!$P$21)</f>
        <v>0</v>
      </c>
      <c r="AA67" s="334" t="n">
        <f aca="false">Z67*(1+Assumptions!$P$21)</f>
        <v>0</v>
      </c>
      <c r="AB67" s="334" t="n">
        <f aca="false">AA67*(1+Assumptions!$P$21)</f>
        <v>0</v>
      </c>
      <c r="AC67" s="359" t="n">
        <f aca="false">AB67*(1+Assumptions!$P$21)</f>
        <v>0</v>
      </c>
      <c r="AD67" s="359" t="n">
        <f aca="false">AC67*(1+Assumptions!$P$21)</f>
        <v>0</v>
      </c>
      <c r="AE67" s="359" t="n">
        <f aca="false">AD67*(1+Assumptions!$P$21)</f>
        <v>0</v>
      </c>
      <c r="AF67" s="359" t="n">
        <f aca="false">AE67*(1+Assumptions!$P$21)</f>
        <v>0</v>
      </c>
      <c r="AG67" s="359" t="n">
        <f aca="false">AF67*(1+Assumptions!$P$21)</f>
        <v>0</v>
      </c>
      <c r="AH67" s="359" t="n">
        <f aca="false">AG67*(1+Assumptions!$P$21)</f>
        <v>0</v>
      </c>
    </row>
    <row r="68" customFormat="false" ht="12.75" hidden="false" customHeight="false" outlineLevel="0" collapsed="false">
      <c r="A68" s="39" t="s">
        <v>281</v>
      </c>
      <c r="C68" s="357"/>
      <c r="D68" s="355" t="n">
        <f aca="false">Assumptions!$P34*Assumptions!J17/12</f>
        <v>0</v>
      </c>
      <c r="E68" s="355" t="n">
        <f aca="false">Assumptions!$P34*(1+Assumptions!$P$21)</f>
        <v>0</v>
      </c>
      <c r="F68" s="355" t="n">
        <f aca="false">E68*(1+Assumptions!$P$21)</f>
        <v>0</v>
      </c>
      <c r="G68" s="355" t="n">
        <f aca="false">F68*(1+Assumptions!$P$21)</f>
        <v>0</v>
      </c>
      <c r="H68" s="355" t="n">
        <f aca="false">G68*(1+Assumptions!$P$21)</f>
        <v>0</v>
      </c>
      <c r="I68" s="355" t="n">
        <f aca="false">H68*(1+Assumptions!$P$21)</f>
        <v>0</v>
      </c>
      <c r="J68" s="355" t="n">
        <f aca="false">I68*(1+Assumptions!$P$21)</f>
        <v>0</v>
      </c>
      <c r="K68" s="355" t="n">
        <f aca="false">J68*(1+Assumptions!$P$21)</f>
        <v>0</v>
      </c>
      <c r="L68" s="355" t="n">
        <f aca="false">K68*(1+Assumptions!$P$21)</f>
        <v>0</v>
      </c>
      <c r="M68" s="355" t="n">
        <f aca="false">L68*(1+Assumptions!$P$21)</f>
        <v>0</v>
      </c>
      <c r="N68" s="355" t="n">
        <f aca="false">M68*(1+Assumptions!$P$21)</f>
        <v>0</v>
      </c>
      <c r="O68" s="355" t="n">
        <f aca="false">N68*(1+Assumptions!$P$21)</f>
        <v>0</v>
      </c>
      <c r="P68" s="355" t="n">
        <f aca="false">O68*(1+Assumptions!$P$21)</f>
        <v>0</v>
      </c>
      <c r="Q68" s="355" t="n">
        <f aca="false">P68*(1+Assumptions!$P$21)</f>
        <v>0</v>
      </c>
      <c r="R68" s="355" t="n">
        <f aca="false">Q68*(1+Assumptions!$P$21)</f>
        <v>0</v>
      </c>
      <c r="S68" s="355" t="n">
        <f aca="false">R68*(1+Assumptions!$P$21)</f>
        <v>0</v>
      </c>
      <c r="T68" s="355" t="n">
        <f aca="false">S68*(1+Assumptions!$P$21)</f>
        <v>0</v>
      </c>
      <c r="U68" s="355" t="n">
        <f aca="false">T68*(1+Assumptions!$P$21)</f>
        <v>0</v>
      </c>
      <c r="V68" s="355" t="n">
        <f aca="false">U68*(1+Assumptions!$P$21)</f>
        <v>0</v>
      </c>
      <c r="W68" s="355" t="n">
        <f aca="false">V68*(1+Assumptions!$P$21)</f>
        <v>0</v>
      </c>
      <c r="X68" s="355" t="n">
        <f aca="false">W68*(1+Assumptions!$P$21)</f>
        <v>0</v>
      </c>
      <c r="Y68" s="355" t="n">
        <f aca="false">X68*(1+Assumptions!$P$21)</f>
        <v>0</v>
      </c>
      <c r="Z68" s="355" t="n">
        <f aca="false">Y68*(1+Assumptions!$P$21)</f>
        <v>0</v>
      </c>
      <c r="AA68" s="355" t="n">
        <f aca="false">Z68*(1+Assumptions!$P$21)</f>
        <v>0</v>
      </c>
      <c r="AB68" s="355" t="n">
        <f aca="false">AA68*(1+Assumptions!$P$21)</f>
        <v>0</v>
      </c>
      <c r="AC68" s="355" t="n">
        <f aca="false">AB68*(1+Assumptions!$P$21)</f>
        <v>0</v>
      </c>
      <c r="AD68" s="355" t="n">
        <f aca="false">AC68*(1+Assumptions!$P$21)</f>
        <v>0</v>
      </c>
      <c r="AE68" s="355" t="n">
        <f aca="false">AD68*(1+Assumptions!$P$21)</f>
        <v>0</v>
      </c>
      <c r="AF68" s="355" t="n">
        <f aca="false">AE68*(1+Assumptions!$P$21)</f>
        <v>0</v>
      </c>
      <c r="AG68" s="355" t="n">
        <f aca="false">AF68*(1+Assumptions!$P$21)</f>
        <v>0</v>
      </c>
      <c r="AH68" s="355" t="n">
        <f aca="false">AG68*(1+Assumptions!$P$21)</f>
        <v>0</v>
      </c>
    </row>
    <row r="69" customFormat="false" ht="12.75" hidden="false" customHeight="false" outlineLevel="0" collapsed="false">
      <c r="A69" s="345" t="s">
        <v>282</v>
      </c>
      <c r="C69" s="360"/>
      <c r="D69" s="361" t="n">
        <f aca="false">Assumptions!$P35*Assumptions!J17/12</f>
        <v>106.958904109589</v>
      </c>
      <c r="E69" s="361" t="n">
        <f aca="false">Assumptions!$P35*(1+Assumptions!$P$21)</f>
        <v>160</v>
      </c>
      <c r="F69" s="361" t="n">
        <f aca="false">E69*(1+Assumptions!$P$21)</f>
        <v>160</v>
      </c>
      <c r="G69" s="361" t="n">
        <f aca="false">F69*(1+Assumptions!$P$21)</f>
        <v>160</v>
      </c>
      <c r="H69" s="361" t="n">
        <f aca="false">G69*(1+Assumptions!$P$21)</f>
        <v>160</v>
      </c>
      <c r="I69" s="361" t="n">
        <f aca="false">H69*(1+Assumptions!$P$21)</f>
        <v>160</v>
      </c>
      <c r="J69" s="361" t="n">
        <f aca="false">I69*(1+Assumptions!$P$21)</f>
        <v>160</v>
      </c>
      <c r="K69" s="361" t="n">
        <f aca="false">J69*(1+Assumptions!$P$21)</f>
        <v>160</v>
      </c>
      <c r="L69" s="361" t="n">
        <f aca="false">K69*(1+Assumptions!$P$21)</f>
        <v>160</v>
      </c>
      <c r="M69" s="361" t="n">
        <f aca="false">L69*(1+Assumptions!$P$21)</f>
        <v>160</v>
      </c>
      <c r="N69" s="361" t="n">
        <f aca="false">M69*(1+Assumptions!$P$21)</f>
        <v>160</v>
      </c>
      <c r="O69" s="361" t="n">
        <f aca="false">N69*(1+Assumptions!$P$21)</f>
        <v>160</v>
      </c>
      <c r="P69" s="361" t="n">
        <f aca="false">O69*(1+Assumptions!$P$21)</f>
        <v>160</v>
      </c>
      <c r="Q69" s="361" t="n">
        <f aca="false">P69*(1+Assumptions!$P$21)</f>
        <v>160</v>
      </c>
      <c r="R69" s="361" t="n">
        <f aca="false">Q69*(1+Assumptions!$P$21)</f>
        <v>160</v>
      </c>
      <c r="S69" s="361" t="n">
        <f aca="false">R69*(1+Assumptions!$P$21)</f>
        <v>160</v>
      </c>
      <c r="T69" s="361" t="n">
        <f aca="false">S69*(1+Assumptions!$P$21)</f>
        <v>160</v>
      </c>
      <c r="U69" s="361" t="n">
        <f aca="false">T69*(1+Assumptions!$P$21)</f>
        <v>160</v>
      </c>
      <c r="V69" s="361" t="n">
        <f aca="false">U69*(1+Assumptions!$P$21)</f>
        <v>160</v>
      </c>
      <c r="W69" s="361" t="n">
        <f aca="false">V69*(1+Assumptions!$P$21)</f>
        <v>160</v>
      </c>
      <c r="X69" s="361" t="n">
        <f aca="false">W69*(1+Assumptions!$P$21)</f>
        <v>160</v>
      </c>
      <c r="Y69" s="361" t="n">
        <f aca="false">X69*(1+Assumptions!$P$21)</f>
        <v>160</v>
      </c>
      <c r="Z69" s="361" t="n">
        <f aca="false">Y69*(1+Assumptions!$P$21)</f>
        <v>160</v>
      </c>
      <c r="AA69" s="361" t="n">
        <f aca="false">Z69*(1+Assumptions!$P$21)</f>
        <v>160</v>
      </c>
      <c r="AB69" s="361" t="n">
        <f aca="false">AA69*(1+Assumptions!$P$21)</f>
        <v>160</v>
      </c>
      <c r="AC69" s="361" t="n">
        <f aca="false">AB69*(1+Assumptions!$P$21)</f>
        <v>160</v>
      </c>
      <c r="AD69" s="361" t="n">
        <f aca="false">AC69*(1+Assumptions!$P$21)</f>
        <v>160</v>
      </c>
      <c r="AE69" s="361" t="n">
        <f aca="false">AD69*(1+Assumptions!$P$21)</f>
        <v>160</v>
      </c>
      <c r="AF69" s="361" t="n">
        <f aca="false">AE69*(1+Assumptions!$P$21)</f>
        <v>160</v>
      </c>
      <c r="AG69" s="361" t="n">
        <f aca="false">AF69*(1+Assumptions!$P$21)</f>
        <v>160</v>
      </c>
      <c r="AH69" s="361" t="n">
        <f aca="false">AG69*(1+Assumptions!$P$21)</f>
        <v>160</v>
      </c>
    </row>
    <row r="70" customFormat="false" ht="12.75" hidden="false" customHeight="false" outlineLevel="0" collapsed="false">
      <c r="A70" s="345" t="s">
        <v>283</v>
      </c>
      <c r="C70" s="357"/>
      <c r="D70" s="343" t="n">
        <f aca="false">SUM(D58:D69)</f>
        <v>6731.32088834025</v>
      </c>
      <c r="E70" s="343" t="n">
        <f aca="false">SUM(E58:E69)</f>
        <v>9803.09322427948</v>
      </c>
      <c r="F70" s="343" t="n">
        <f aca="false">SUM(F58:F69)</f>
        <v>9803.09322427948</v>
      </c>
      <c r="G70" s="343" t="n">
        <f aca="false">SUM(G58:G69)</f>
        <v>9803.09322427948</v>
      </c>
      <c r="H70" s="343" t="n">
        <f aca="false">SUM(H58:H69)</f>
        <v>9803.09322427948</v>
      </c>
      <c r="I70" s="343" t="n">
        <f aca="false">SUM(I58:I69)</f>
        <v>9803.09322427948</v>
      </c>
      <c r="J70" s="343" t="n">
        <f aca="false">SUM(J58:J69)</f>
        <v>9803.09322427948</v>
      </c>
      <c r="K70" s="343" t="n">
        <f aca="false">SUM(K58:K69)</f>
        <v>9803.09322427948</v>
      </c>
      <c r="L70" s="343" t="n">
        <f aca="false">SUM(L58:L69)</f>
        <v>9803.09322427948</v>
      </c>
      <c r="M70" s="343" t="n">
        <f aca="false">SUM(M58:M69)</f>
        <v>9803.09322427948</v>
      </c>
      <c r="N70" s="343" t="n">
        <f aca="false">SUM(N58:N69)</f>
        <v>9803.09322427948</v>
      </c>
      <c r="O70" s="343" t="n">
        <f aca="false">SUM(O58:O69)</f>
        <v>9803.09322427948</v>
      </c>
      <c r="P70" s="343" t="n">
        <f aca="false">SUM(P58:P69)</f>
        <v>9803.09322427948</v>
      </c>
      <c r="Q70" s="343" t="n">
        <f aca="false">SUM(Q58:Q69)</f>
        <v>9803.09322427948</v>
      </c>
      <c r="R70" s="343" t="n">
        <f aca="false">SUM(R58:R69)</f>
        <v>9803.09322427948</v>
      </c>
      <c r="S70" s="343" t="n">
        <f aca="false">SUM(S58:S69)</f>
        <v>9803.09322427948</v>
      </c>
      <c r="T70" s="343" t="n">
        <f aca="false">SUM(T58:T69)</f>
        <v>9803.09322427948</v>
      </c>
      <c r="U70" s="343" t="n">
        <f aca="false">SUM(U58:U69)</f>
        <v>9803.09322427948</v>
      </c>
      <c r="V70" s="343" t="n">
        <f aca="false">SUM(V58:V69)</f>
        <v>9803.09322427948</v>
      </c>
      <c r="W70" s="343" t="n">
        <f aca="false">SUM(W58:W69)</f>
        <v>9803.09322427948</v>
      </c>
      <c r="X70" s="343" t="n">
        <f aca="false">SUM(X58:X69)</f>
        <v>9803.09322427948</v>
      </c>
      <c r="Y70" s="343" t="n">
        <f aca="false">SUM(Y58:Y69)</f>
        <v>9803.09322427948</v>
      </c>
      <c r="Z70" s="343" t="n">
        <f aca="false">SUM(Z58:Z69)</f>
        <v>9803.09322427948</v>
      </c>
      <c r="AA70" s="343" t="n">
        <f aca="false">SUM(AA58:AA69)</f>
        <v>9803.09322427948</v>
      </c>
      <c r="AB70" s="343" t="n">
        <f aca="false">SUM(AB58:AB69)</f>
        <v>9803.09322427948</v>
      </c>
      <c r="AC70" s="343" t="n">
        <f aca="false">SUM(AC58:AC69)</f>
        <v>2661.55130427948</v>
      </c>
      <c r="AD70" s="343" t="n">
        <f aca="false">SUM(AD58:AD69)</f>
        <v>2661.55130427948</v>
      </c>
      <c r="AE70" s="343" t="n">
        <f aca="false">SUM(AE58:AE69)</f>
        <v>2661.55130427948</v>
      </c>
      <c r="AF70" s="343" t="n">
        <f aca="false">SUM(AF58:AF69)</f>
        <v>2661.55130427948</v>
      </c>
      <c r="AG70" s="343" t="n">
        <f aca="false">SUM(AG58:AG69)</f>
        <v>2661.55130427948</v>
      </c>
      <c r="AH70" s="343" t="n">
        <f aca="false">SUM(AH58:AH69)</f>
        <v>2661.55130427948</v>
      </c>
    </row>
    <row r="71" customFormat="false" ht="12.75" hidden="false" customHeight="false" outlineLevel="0" collapsed="false">
      <c r="A71" s="362"/>
      <c r="C71" s="363"/>
      <c r="D71" s="364"/>
      <c r="E71" s="364"/>
      <c r="F71" s="364"/>
      <c r="G71" s="364"/>
      <c r="H71" s="364"/>
      <c r="I71" s="364"/>
      <c r="J71" s="364"/>
      <c r="K71" s="364"/>
      <c r="L71" s="364"/>
      <c r="M71" s="364"/>
      <c r="N71" s="364"/>
      <c r="O71" s="364"/>
      <c r="P71" s="364"/>
      <c r="Q71" s="364"/>
      <c r="R71" s="364"/>
      <c r="S71" s="364"/>
      <c r="T71" s="364"/>
      <c r="U71" s="364"/>
      <c r="V71" s="364"/>
      <c r="W71" s="364"/>
      <c r="X71" s="364"/>
      <c r="Y71" s="364"/>
      <c r="Z71" s="364"/>
      <c r="AA71" s="364"/>
      <c r="AB71" s="364"/>
      <c r="AC71" s="364"/>
      <c r="AD71" s="364"/>
      <c r="AE71" s="364"/>
      <c r="AF71" s="364"/>
      <c r="AG71" s="364"/>
      <c r="AH71" s="364"/>
    </row>
    <row r="72" customFormat="false" ht="12.75" hidden="false" customHeight="false" outlineLevel="0" collapsed="false">
      <c r="A72" s="116" t="s">
        <v>284</v>
      </c>
      <c r="D72" s="365" t="n">
        <f aca="false">D55-D70</f>
        <v>7180.85545774194</v>
      </c>
      <c r="E72" s="365" t="n">
        <f aca="false">E55-E70</f>
        <v>10656.0590557205</v>
      </c>
      <c r="F72" s="365" t="n">
        <f aca="false">F55-F70</f>
        <v>10656.0590557205</v>
      </c>
      <c r="G72" s="365" t="n">
        <f aca="false">G55-G70</f>
        <v>10656.0590557205</v>
      </c>
      <c r="H72" s="365" t="n">
        <f aca="false">H55-H70</f>
        <v>10656.0590557205</v>
      </c>
      <c r="I72" s="365" t="n">
        <f aca="false">I55-I70</f>
        <v>10656.0590557205</v>
      </c>
      <c r="J72" s="365" t="n">
        <f aca="false">J55-J70</f>
        <v>10656.0590557205</v>
      </c>
      <c r="K72" s="365" t="n">
        <f aca="false">K55-K70</f>
        <v>10656.0590557205</v>
      </c>
      <c r="L72" s="365" t="n">
        <f aca="false">L55-L70</f>
        <v>10656.0590557205</v>
      </c>
      <c r="M72" s="365" t="n">
        <f aca="false">M55-M70</f>
        <v>10656.0590557205</v>
      </c>
      <c r="N72" s="365" t="n">
        <f aca="false">N55-N70</f>
        <v>10656.0590557205</v>
      </c>
      <c r="O72" s="365" t="n">
        <f aca="false">O55-O70</f>
        <v>10656.0590557205</v>
      </c>
      <c r="P72" s="365" t="n">
        <f aca="false">P55-P70</f>
        <v>10656.0590557205</v>
      </c>
      <c r="Q72" s="365" t="n">
        <f aca="false">Q55-Q70</f>
        <v>10656.0590557205</v>
      </c>
      <c r="R72" s="365" t="n">
        <f aca="false">R55-R70</f>
        <v>10656.0590557205</v>
      </c>
      <c r="S72" s="365" t="n">
        <f aca="false">S55-S70</f>
        <v>10656.0590557205</v>
      </c>
      <c r="T72" s="365" t="n">
        <f aca="false">T55-T70</f>
        <v>10656.0590557205</v>
      </c>
      <c r="U72" s="365" t="n">
        <f aca="false">U55-U70</f>
        <v>10656.0590557205</v>
      </c>
      <c r="V72" s="365" t="n">
        <f aca="false">V55-V70</f>
        <v>10656.0590557205</v>
      </c>
      <c r="W72" s="365" t="n">
        <f aca="false">W55-W70</f>
        <v>10656.0590557205</v>
      </c>
      <c r="X72" s="365" t="n">
        <f aca="false">X55-X70</f>
        <v>10656.0590557205</v>
      </c>
      <c r="Y72" s="365" t="n">
        <f aca="false">Y55-Y70</f>
        <v>10656.0590557205</v>
      </c>
      <c r="Z72" s="365" t="n">
        <f aca="false">Z55-Z70</f>
        <v>10656.0590557205</v>
      </c>
      <c r="AA72" s="365" t="n">
        <f aca="false">AA55-AA70</f>
        <v>10656.0590557205</v>
      </c>
      <c r="AB72" s="365" t="n">
        <f aca="false">AB55-AB70</f>
        <v>10656.0590557205</v>
      </c>
      <c r="AC72" s="365" t="n">
        <f aca="false">AC55-AC70</f>
        <v>-2661.55130427948</v>
      </c>
      <c r="AD72" s="365" t="n">
        <f aca="false">AD55-AD70</f>
        <v>-2661.55130427948</v>
      </c>
      <c r="AE72" s="365" t="n">
        <f aca="false">AE55-AE70</f>
        <v>-2661.55130427948</v>
      </c>
      <c r="AF72" s="365" t="n">
        <f aca="false">AF55-AF70</f>
        <v>-2661.55130427948</v>
      </c>
      <c r="AG72" s="365" t="n">
        <f aca="false">AG55-AG70</f>
        <v>-2661.55130427948</v>
      </c>
      <c r="AH72" s="365" t="n">
        <f aca="false">AH55-AH70</f>
        <v>-2661.55130427948</v>
      </c>
    </row>
    <row r="73" customFormat="false" ht="12.75" hidden="false" customHeight="false" outlineLevel="0" collapsed="false">
      <c r="A73" s="116"/>
      <c r="D73" s="364"/>
      <c r="E73" s="364"/>
      <c r="F73" s="364"/>
      <c r="G73" s="364"/>
      <c r="H73" s="364"/>
      <c r="I73" s="364"/>
      <c r="J73" s="364"/>
      <c r="K73" s="364"/>
      <c r="L73" s="364"/>
      <c r="M73" s="364"/>
      <c r="N73" s="364"/>
      <c r="O73" s="364"/>
      <c r="P73" s="364"/>
      <c r="Q73" s="364"/>
      <c r="R73" s="364"/>
      <c r="S73" s="364"/>
      <c r="T73" s="364"/>
      <c r="U73" s="364"/>
      <c r="V73" s="364"/>
      <c r="W73" s="364"/>
      <c r="X73" s="364"/>
      <c r="Y73" s="364"/>
      <c r="Z73" s="364"/>
      <c r="AA73" s="364"/>
      <c r="AB73" s="364"/>
      <c r="AC73" s="364"/>
      <c r="AD73" s="364"/>
      <c r="AE73" s="364"/>
      <c r="AF73" s="364"/>
      <c r="AG73" s="364"/>
      <c r="AH73" s="364"/>
    </row>
    <row r="74" customFormat="false" ht="12.75" hidden="false" customHeight="false" outlineLevel="0" collapsed="false">
      <c r="A74" s="345" t="s">
        <v>285</v>
      </c>
      <c r="D74" s="343" t="n">
        <f aca="false">Depreciation!D43</f>
        <v>2851.47496309262</v>
      </c>
      <c r="E74" s="343" t="n">
        <f aca="false">Depreciation!E43</f>
        <v>6375.78910775906</v>
      </c>
      <c r="F74" s="343" t="n">
        <f aca="false">Depreciation!F43</f>
        <v>6375.78910775906</v>
      </c>
      <c r="G74" s="343" t="n">
        <f aca="false">Depreciation!G43</f>
        <v>6375.78910775906</v>
      </c>
      <c r="H74" s="343" t="n">
        <f aca="false">Depreciation!H43</f>
        <v>6375.78910775906</v>
      </c>
      <c r="I74" s="343" t="n">
        <f aca="false">Depreciation!I43</f>
        <v>6375.78910775906</v>
      </c>
      <c r="J74" s="343" t="n">
        <f aca="false">Depreciation!J43</f>
        <v>6375.78910775906</v>
      </c>
      <c r="K74" s="343" t="n">
        <f aca="false">Depreciation!K43</f>
        <v>6375.78910775906</v>
      </c>
      <c r="L74" s="343" t="n">
        <f aca="false">Depreciation!L43</f>
        <v>6375.78910775906</v>
      </c>
      <c r="M74" s="343" t="n">
        <f aca="false">Depreciation!M43</f>
        <v>6375.78910775906</v>
      </c>
      <c r="N74" s="343" t="n">
        <f aca="false">Depreciation!N43</f>
        <v>6375.78910775906</v>
      </c>
      <c r="O74" s="343" t="n">
        <f aca="false">Depreciation!O43</f>
        <v>6375.78910775906</v>
      </c>
      <c r="P74" s="343" t="n">
        <f aca="false">Depreciation!P43</f>
        <v>6375.78910775906</v>
      </c>
      <c r="Q74" s="343" t="n">
        <f aca="false">Depreciation!Q43</f>
        <v>6375.78910775906</v>
      </c>
      <c r="R74" s="343" t="n">
        <f aca="false">Depreciation!R43</f>
        <v>6375.78910775906</v>
      </c>
      <c r="S74" s="343" t="n">
        <f aca="false">Depreciation!S43</f>
        <v>6375.78910775906</v>
      </c>
      <c r="T74" s="343" t="n">
        <f aca="false">Depreciation!T43</f>
        <v>6375.78910775906</v>
      </c>
      <c r="U74" s="343" t="n">
        <f aca="false">Depreciation!U43</f>
        <v>6375.78910775906</v>
      </c>
      <c r="V74" s="343" t="n">
        <f aca="false">Depreciation!V43</f>
        <v>6375.78910775906</v>
      </c>
      <c r="W74" s="343" t="n">
        <f aca="false">Depreciation!W43</f>
        <v>6375.78910775906</v>
      </c>
      <c r="X74" s="343" t="n">
        <f aca="false">Depreciation!X43</f>
        <v>6330.78910775906</v>
      </c>
      <c r="Y74" s="343" t="n">
        <f aca="false">Depreciation!Y43</f>
        <v>6330.78910775906</v>
      </c>
      <c r="Z74" s="343" t="n">
        <f aca="false">Depreciation!Z43</f>
        <v>6330.78910775906</v>
      </c>
      <c r="AA74" s="343" t="n">
        <f aca="false">Depreciation!AA43</f>
        <v>6330.78910775906</v>
      </c>
      <c r="AB74" s="343" t="n">
        <f aca="false">Depreciation!AB43</f>
        <v>6330.78910775906</v>
      </c>
      <c r="AC74" s="343" t="n">
        <f aca="false">Depreciation!AC43</f>
        <v>6330.78910775906</v>
      </c>
      <c r="AD74" s="343" t="n">
        <f aca="false">Depreciation!AD43</f>
        <v>6330.78910775906</v>
      </c>
      <c r="AE74" s="343" t="n">
        <f aca="false">Depreciation!AE43</f>
        <v>6330.78910775906</v>
      </c>
      <c r="AF74" s="343" t="n">
        <f aca="false">Depreciation!AF43</f>
        <v>6330.78910775906</v>
      </c>
      <c r="AG74" s="343" t="n">
        <f aca="false">Depreciation!AG43</f>
        <v>6330.78910775906</v>
      </c>
      <c r="AH74" s="343" t="n">
        <f aca="false">Depreciation!AH43</f>
        <v>0</v>
      </c>
    </row>
    <row r="75" customFormat="false" ht="12.75" hidden="false" customHeight="false" outlineLevel="0" collapsed="false">
      <c r="A75" s="345"/>
      <c r="D75" s="343"/>
      <c r="E75" s="343"/>
      <c r="F75" s="343"/>
      <c r="G75" s="343"/>
      <c r="H75" s="343"/>
      <c r="I75" s="343"/>
      <c r="J75" s="343"/>
      <c r="K75" s="343"/>
      <c r="L75" s="343"/>
      <c r="M75" s="343"/>
      <c r="N75" s="343"/>
      <c r="O75" s="343"/>
      <c r="P75" s="343"/>
      <c r="Q75" s="343"/>
      <c r="R75" s="343"/>
      <c r="S75" s="343"/>
      <c r="T75" s="343"/>
      <c r="U75" s="343"/>
      <c r="V75" s="343"/>
      <c r="W75" s="343"/>
      <c r="X75" s="343"/>
      <c r="Y75" s="343"/>
      <c r="Z75" s="343"/>
      <c r="AA75" s="343"/>
      <c r="AB75" s="343"/>
      <c r="AC75" s="343"/>
      <c r="AD75" s="343"/>
      <c r="AE75" s="343"/>
      <c r="AF75" s="343"/>
      <c r="AG75" s="343"/>
      <c r="AH75" s="343"/>
    </row>
    <row r="76" customFormat="false" ht="12.75" hidden="false" customHeight="false" outlineLevel="0" collapsed="false">
      <c r="A76" s="116" t="s">
        <v>286</v>
      </c>
      <c r="D76" s="365" t="n">
        <f aca="false">D72-D74</f>
        <v>4329.38049464932</v>
      </c>
      <c r="E76" s="365" t="n">
        <f aca="false">E72-E74</f>
        <v>4280.26994796146</v>
      </c>
      <c r="F76" s="365" t="n">
        <f aca="false">F72-F74</f>
        <v>4280.26994796146</v>
      </c>
      <c r="G76" s="365" t="n">
        <f aca="false">G72-G74</f>
        <v>4280.26994796146</v>
      </c>
      <c r="H76" s="365" t="n">
        <f aca="false">H72-H74</f>
        <v>4280.26994796146</v>
      </c>
      <c r="I76" s="365" t="n">
        <f aca="false">I72-I74</f>
        <v>4280.26994796146</v>
      </c>
      <c r="J76" s="365" t="n">
        <f aca="false">J72-J74</f>
        <v>4280.26994796146</v>
      </c>
      <c r="K76" s="365" t="n">
        <f aca="false">K72-K74</f>
        <v>4280.26994796146</v>
      </c>
      <c r="L76" s="365" t="n">
        <f aca="false">L72-L74</f>
        <v>4280.26994796146</v>
      </c>
      <c r="M76" s="365" t="n">
        <f aca="false">M72-M74</f>
        <v>4280.26994796146</v>
      </c>
      <c r="N76" s="365" t="n">
        <f aca="false">N72-N74</f>
        <v>4280.26994796146</v>
      </c>
      <c r="O76" s="365" t="n">
        <f aca="false">O72-O74</f>
        <v>4280.26994796146</v>
      </c>
      <c r="P76" s="365" t="n">
        <f aca="false">P72-P74</f>
        <v>4280.26994796146</v>
      </c>
      <c r="Q76" s="365" t="n">
        <f aca="false">Q72-Q74</f>
        <v>4280.26994796146</v>
      </c>
      <c r="R76" s="365" t="n">
        <f aca="false">R72-R74</f>
        <v>4280.26994796146</v>
      </c>
      <c r="S76" s="365" t="n">
        <f aca="false">S72-S74</f>
        <v>4280.26994796146</v>
      </c>
      <c r="T76" s="365" t="n">
        <f aca="false">T72-T74</f>
        <v>4280.26994796146</v>
      </c>
      <c r="U76" s="365" t="n">
        <f aca="false">U72-U74</f>
        <v>4280.26994796146</v>
      </c>
      <c r="V76" s="365" t="n">
        <f aca="false">V72-V74</f>
        <v>4280.26994796146</v>
      </c>
      <c r="W76" s="365" t="n">
        <f aca="false">W72-W74</f>
        <v>4280.26994796146</v>
      </c>
      <c r="X76" s="365" t="n">
        <f aca="false">X72-X74</f>
        <v>4325.26994796146</v>
      </c>
      <c r="Y76" s="365" t="n">
        <f aca="false">Y72-Y74</f>
        <v>4325.26994796146</v>
      </c>
      <c r="Z76" s="365" t="n">
        <f aca="false">Z72-Z74</f>
        <v>4325.26994796146</v>
      </c>
      <c r="AA76" s="365" t="n">
        <f aca="false">AA72-AA74</f>
        <v>4325.26994796146</v>
      </c>
      <c r="AB76" s="365" t="n">
        <f aca="false">AB72-AB74</f>
        <v>4325.26994796146</v>
      </c>
      <c r="AC76" s="365" t="n">
        <f aca="false">AC72-AC74</f>
        <v>-8992.34041203854</v>
      </c>
      <c r="AD76" s="365" t="n">
        <f aca="false">AD72-AD74</f>
        <v>-8992.34041203854</v>
      </c>
      <c r="AE76" s="365" t="n">
        <f aca="false">AE72-AE74</f>
        <v>-8992.34041203854</v>
      </c>
      <c r="AF76" s="365" t="n">
        <f aca="false">AF72-AF74</f>
        <v>-8992.34041203854</v>
      </c>
      <c r="AG76" s="365" t="n">
        <f aca="false">AG72-AG74</f>
        <v>-8992.34041203854</v>
      </c>
      <c r="AH76" s="365" t="n">
        <f aca="false">AH72-AH74</f>
        <v>-2661.55130427948</v>
      </c>
    </row>
    <row r="77" customFormat="false" ht="12.75" hidden="false" customHeight="false" outlineLevel="0" collapsed="false">
      <c r="A77" s="116"/>
      <c r="D77" s="365"/>
      <c r="E77" s="365"/>
      <c r="F77" s="365"/>
      <c r="G77" s="365"/>
      <c r="H77" s="365"/>
      <c r="I77" s="365"/>
      <c r="J77" s="365"/>
      <c r="K77" s="365"/>
      <c r="L77" s="365"/>
      <c r="M77" s="365"/>
      <c r="N77" s="365"/>
      <c r="O77" s="365"/>
      <c r="P77" s="365"/>
      <c r="Q77" s="365"/>
      <c r="R77" s="365"/>
      <c r="S77" s="365"/>
      <c r="T77" s="365"/>
      <c r="U77" s="365"/>
      <c r="V77" s="365"/>
      <c r="W77" s="365"/>
      <c r="X77" s="365"/>
      <c r="Y77" s="365"/>
      <c r="Z77" s="365"/>
      <c r="AA77" s="365"/>
      <c r="AB77" s="365"/>
      <c r="AC77" s="365"/>
      <c r="AD77" s="365"/>
      <c r="AE77" s="365"/>
      <c r="AF77" s="365"/>
      <c r="AG77" s="365"/>
      <c r="AH77" s="365"/>
    </row>
    <row r="78" customFormat="false" ht="12.75" hidden="false" customHeight="false" outlineLevel="0" collapsed="false">
      <c r="A78" s="345" t="s">
        <v>287</v>
      </c>
      <c r="C78" s="357"/>
      <c r="D78" s="343" t="n">
        <f aca="false">+Debt!C48</f>
        <v>2063.83772288893</v>
      </c>
      <c r="E78" s="343" t="n">
        <f aca="false">+Debt!D48</f>
        <v>5979.19491821265</v>
      </c>
      <c r="F78" s="343" t="n">
        <f aca="false">+Debt!E48</f>
        <v>5787.87927049561</v>
      </c>
      <c r="G78" s="343" t="n">
        <f aca="false">+Debt!F48</f>
        <v>5581.29037376447</v>
      </c>
      <c r="H78" s="343" t="n">
        <f aca="false">+Debt!G48</f>
        <v>5358.208922969</v>
      </c>
      <c r="I78" s="343" t="n">
        <f aca="false">+Debt!H48</f>
        <v>5117.31827261729</v>
      </c>
      <c r="J78" s="343" t="n">
        <f aca="false">+Debt!I48</f>
        <v>4857.1966658232</v>
      </c>
      <c r="K78" s="343" t="n">
        <f aca="false">+Debt!J48</f>
        <v>4576.30884297767</v>
      </c>
      <c r="L78" s="343" t="n">
        <f aca="false">+Debt!K48</f>
        <v>4272.99698051728</v>
      </c>
      <c r="M78" s="343" t="n">
        <f aca="false">+Debt!L48</f>
        <v>3945.47090631013</v>
      </c>
      <c r="N78" s="343" t="n">
        <f aca="false">+Debt!M48</f>
        <v>3591.79753390929</v>
      </c>
      <c r="O78" s="343" t="n">
        <f aca="false">+Debt!N48</f>
        <v>3209.88945331393</v>
      </c>
      <c r="P78" s="343" t="n">
        <f aca="false">+Debt!O48</f>
        <v>2797.4926108999</v>
      </c>
      <c r="Q78" s="343" t="n">
        <f aca="false">+Debt!P48</f>
        <v>2352.17300580555</v>
      </c>
      <c r="R78" s="343" t="n">
        <f aca="false">+Debt!Q48</f>
        <v>1871.30232425389</v>
      </c>
      <c r="S78" s="343" t="n">
        <f aca="false">+Debt!R48</f>
        <v>1352.04242702354</v>
      </c>
      <c r="T78" s="343" t="n">
        <f aca="false">+Debt!S48</f>
        <v>791.328598512212</v>
      </c>
      <c r="U78" s="343" t="n">
        <f aca="false">+Debt!T48</f>
        <v>185.85145852743</v>
      </c>
      <c r="V78" s="343" t="n">
        <f aca="false">+Debt!U48</f>
        <v>0</v>
      </c>
      <c r="W78" s="343" t="n">
        <f aca="false">+Debt!V48</f>
        <v>0</v>
      </c>
      <c r="X78" s="343" t="n">
        <f aca="false">+Debt!W48</f>
        <v>0</v>
      </c>
      <c r="Y78" s="343" t="n">
        <f aca="false">+Debt!X48</f>
        <v>0</v>
      </c>
      <c r="Z78" s="343" t="n">
        <f aca="false">+Debt!Y48</f>
        <v>0</v>
      </c>
      <c r="AA78" s="343" t="n">
        <f aca="false">+Debt!Z48</f>
        <v>0</v>
      </c>
      <c r="AB78" s="343" t="n">
        <f aca="false">+Debt!AA48</f>
        <v>0</v>
      </c>
      <c r="AC78" s="343" t="n">
        <v>0</v>
      </c>
      <c r="AD78" s="343" t="n">
        <v>0</v>
      </c>
      <c r="AE78" s="343" t="n">
        <v>0</v>
      </c>
      <c r="AF78" s="343" t="n">
        <v>0</v>
      </c>
      <c r="AG78" s="343" t="n">
        <v>0</v>
      </c>
      <c r="AH78" s="343" t="n">
        <v>0</v>
      </c>
    </row>
    <row r="79" customFormat="false" ht="12.75" hidden="false" customHeight="false" outlineLevel="0" collapsed="false">
      <c r="A79" s="114"/>
      <c r="D79" s="343"/>
      <c r="E79" s="343"/>
      <c r="F79" s="343"/>
      <c r="G79" s="343"/>
      <c r="H79" s="343"/>
      <c r="I79" s="343"/>
      <c r="J79" s="343"/>
      <c r="K79" s="343"/>
      <c r="L79" s="343"/>
      <c r="M79" s="343"/>
      <c r="N79" s="343"/>
      <c r="O79" s="343"/>
      <c r="P79" s="343"/>
      <c r="Q79" s="343"/>
      <c r="R79" s="343"/>
      <c r="S79" s="343"/>
      <c r="T79" s="343"/>
      <c r="U79" s="343"/>
      <c r="V79" s="343"/>
      <c r="W79" s="343"/>
      <c r="X79" s="343"/>
      <c r="Y79" s="343"/>
      <c r="Z79" s="343"/>
      <c r="AA79" s="343"/>
      <c r="AB79" s="343"/>
      <c r="AC79" s="343"/>
      <c r="AD79" s="343"/>
      <c r="AE79" s="343"/>
      <c r="AF79" s="343"/>
      <c r="AG79" s="343"/>
      <c r="AH79" s="343"/>
    </row>
    <row r="80" customFormat="false" ht="12.75" hidden="false" customHeight="false" outlineLevel="0" collapsed="false">
      <c r="A80" s="116" t="s">
        <v>288</v>
      </c>
      <c r="D80" s="365" t="n">
        <f aca="false">D76-D78</f>
        <v>2265.54277176038</v>
      </c>
      <c r="E80" s="365" t="n">
        <f aca="false">E76-E78</f>
        <v>-1698.92497025119</v>
      </c>
      <c r="F80" s="365" t="n">
        <f aca="false">F76-F78</f>
        <v>-1507.60932253415</v>
      </c>
      <c r="G80" s="365" t="n">
        <f aca="false">G76-G78</f>
        <v>-1301.020425803</v>
      </c>
      <c r="H80" s="365" t="n">
        <f aca="false">H76-H78</f>
        <v>-1077.93897500754</v>
      </c>
      <c r="I80" s="365" t="n">
        <f aca="false">I76-I78</f>
        <v>-837.048324655828</v>
      </c>
      <c r="J80" s="365" t="n">
        <f aca="false">J76-J78</f>
        <v>-576.926717861742</v>
      </c>
      <c r="K80" s="365" t="n">
        <f aca="false">K76-K78</f>
        <v>-296.038895016209</v>
      </c>
      <c r="L80" s="365" t="n">
        <f aca="false">L76-L78</f>
        <v>7.27296744418072</v>
      </c>
      <c r="M80" s="365" t="n">
        <f aca="false">M76-M78</f>
        <v>334.799041651329</v>
      </c>
      <c r="N80" s="365" t="n">
        <f aca="false">N76-N78</f>
        <v>688.47241405217</v>
      </c>
      <c r="O80" s="365" t="n">
        <f aca="false">O76-O78</f>
        <v>1070.38049464753</v>
      </c>
      <c r="P80" s="365" t="n">
        <f aca="false">P76-P78</f>
        <v>1482.77733706156</v>
      </c>
      <c r="Q80" s="365" t="n">
        <f aca="false">Q76-Q78</f>
        <v>1928.09694215591</v>
      </c>
      <c r="R80" s="365" t="n">
        <f aca="false">R76-R78</f>
        <v>2408.96762370757</v>
      </c>
      <c r="S80" s="365" t="n">
        <f aca="false">S76-S78</f>
        <v>2928.22752093792</v>
      </c>
      <c r="T80" s="365" t="n">
        <f aca="false">T76-T78</f>
        <v>3488.94134944925</v>
      </c>
      <c r="U80" s="365" t="n">
        <f aca="false">U76-U78</f>
        <v>4094.41848943403</v>
      </c>
      <c r="V80" s="365" t="n">
        <f aca="false">V76-V78</f>
        <v>4280.26994796146</v>
      </c>
      <c r="W80" s="365" t="n">
        <f aca="false">W76-W78</f>
        <v>4280.26994796146</v>
      </c>
      <c r="X80" s="365" t="n">
        <f aca="false">X76-X78</f>
        <v>4325.26994796146</v>
      </c>
      <c r="Y80" s="365" t="n">
        <f aca="false">Y76-Y78</f>
        <v>4325.26994796146</v>
      </c>
      <c r="Z80" s="365" t="n">
        <f aca="false">Z76-Z78</f>
        <v>4325.26994796146</v>
      </c>
      <c r="AA80" s="365" t="n">
        <f aca="false">AA76-AA78</f>
        <v>4325.26994796146</v>
      </c>
      <c r="AB80" s="365" t="n">
        <f aca="false">AB76-AB78</f>
        <v>4325.26994796146</v>
      </c>
      <c r="AC80" s="365" t="n">
        <f aca="false">AC76-AC78</f>
        <v>-8992.34041203854</v>
      </c>
      <c r="AD80" s="365" t="n">
        <f aca="false">AD76-AD78</f>
        <v>-8992.34041203854</v>
      </c>
      <c r="AE80" s="365" t="n">
        <f aca="false">AE76-AE78</f>
        <v>-8992.34041203854</v>
      </c>
      <c r="AF80" s="365" t="n">
        <f aca="false">AF76-AF78</f>
        <v>-8992.34041203854</v>
      </c>
      <c r="AG80" s="365" t="n">
        <f aca="false">AG76-AG78</f>
        <v>-8992.34041203854</v>
      </c>
      <c r="AH80" s="365" t="n">
        <f aca="false">AH76-AH78</f>
        <v>-2661.55130427948</v>
      </c>
    </row>
    <row r="81" customFormat="false" ht="12.75" hidden="false" customHeight="false" outlineLevel="0" collapsed="false">
      <c r="A81" s="116"/>
      <c r="D81" s="365"/>
      <c r="E81" s="365"/>
      <c r="F81" s="365"/>
      <c r="G81" s="365"/>
      <c r="H81" s="365"/>
      <c r="I81" s="365"/>
      <c r="J81" s="365"/>
      <c r="K81" s="365"/>
      <c r="L81" s="365"/>
      <c r="M81" s="365"/>
      <c r="N81" s="365"/>
      <c r="O81" s="365"/>
      <c r="P81" s="365"/>
      <c r="Q81" s="365"/>
      <c r="R81" s="365"/>
      <c r="S81" s="365"/>
      <c r="T81" s="365"/>
      <c r="U81" s="365"/>
      <c r="V81" s="365"/>
      <c r="W81" s="365"/>
      <c r="X81" s="365"/>
      <c r="Y81" s="365"/>
      <c r="Z81" s="365"/>
      <c r="AA81" s="365"/>
      <c r="AB81" s="365"/>
      <c r="AC81" s="365"/>
      <c r="AD81" s="365"/>
      <c r="AE81" s="365"/>
      <c r="AF81" s="365"/>
      <c r="AG81" s="365"/>
      <c r="AH81" s="365"/>
    </row>
    <row r="82" customFormat="false" ht="12.75" hidden="false" customHeight="false" outlineLevel="0" collapsed="false">
      <c r="A82" s="345" t="s">
        <v>289</v>
      </c>
      <c r="B82" s="366" t="n">
        <f aca="false">Assumptions!Q56</f>
        <v>0.06</v>
      </c>
      <c r="C82" s="358"/>
      <c r="D82" s="355" t="n">
        <f aca="false">-D80*$B$82</f>
        <v>-135.932566305623</v>
      </c>
      <c r="E82" s="355" t="n">
        <f aca="false">-E80*$B$82</f>
        <v>101.935498215071</v>
      </c>
      <c r="F82" s="355" t="n">
        <f aca="false">-F80*$B$82</f>
        <v>90.4565593520488</v>
      </c>
      <c r="G82" s="355" t="n">
        <f aca="false">-G80*$B$82</f>
        <v>78.0612255481802</v>
      </c>
      <c r="H82" s="355" t="n">
        <f aca="false">-H80*$B$82</f>
        <v>64.6763385004525</v>
      </c>
      <c r="I82" s="355" t="n">
        <f aca="false">-I80*$B$82</f>
        <v>50.2228994793497</v>
      </c>
      <c r="J82" s="355" t="n">
        <f aca="false">-J80*$B$82</f>
        <v>34.6156030717045</v>
      </c>
      <c r="K82" s="355" t="n">
        <f aca="false">-K80*$B$82</f>
        <v>17.7623337009725</v>
      </c>
      <c r="L82" s="355" t="n">
        <f aca="false">-L80*$B$82</f>
        <v>-0.436378046650843</v>
      </c>
      <c r="M82" s="355" t="n">
        <f aca="false">-M80*$B$82</f>
        <v>-20.0879424990797</v>
      </c>
      <c r="N82" s="355" t="n">
        <f aca="false">-N80*$B$82</f>
        <v>-41.3083448431302</v>
      </c>
      <c r="O82" s="355" t="n">
        <f aca="false">-O80*$B$82</f>
        <v>-64.2228296788517</v>
      </c>
      <c r="P82" s="355" t="n">
        <f aca="false">-P80*$B$82</f>
        <v>-88.9666402236937</v>
      </c>
      <c r="Q82" s="355" t="n">
        <f aca="false">-Q80*$B$82</f>
        <v>-115.685816529355</v>
      </c>
      <c r="R82" s="355" t="n">
        <f aca="false">-R80*$B$82</f>
        <v>-144.538057422454</v>
      </c>
      <c r="S82" s="355" t="n">
        <f aca="false">-S80*$B$82</f>
        <v>-175.693651256275</v>
      </c>
      <c r="T82" s="355" t="n">
        <f aca="false">-T80*$B$82</f>
        <v>-209.336480966955</v>
      </c>
      <c r="U82" s="355" t="n">
        <f aca="false">-U80*$B$82</f>
        <v>-245.665109366042</v>
      </c>
      <c r="V82" s="355" t="n">
        <f aca="false">-V80*$B$82</f>
        <v>-256.816196877688</v>
      </c>
      <c r="W82" s="355" t="n">
        <f aca="false">-W80*$B$82</f>
        <v>-256.816196877688</v>
      </c>
      <c r="X82" s="355" t="n">
        <f aca="false">-X80*$B$82</f>
        <v>-259.516196877688</v>
      </c>
      <c r="Y82" s="355" t="n">
        <f aca="false">-Y80*$B$82</f>
        <v>-259.516196877688</v>
      </c>
      <c r="Z82" s="355" t="n">
        <f aca="false">-Z80*$B$82</f>
        <v>-259.516196877688</v>
      </c>
      <c r="AA82" s="355" t="n">
        <f aca="false">-AA80*$B$82</f>
        <v>-259.516196877688</v>
      </c>
      <c r="AB82" s="355" t="n">
        <f aca="false">-AB80*$B$82</f>
        <v>-259.516196877688</v>
      </c>
      <c r="AC82" s="355" t="n">
        <f aca="false">-AC80*$B$82</f>
        <v>539.540424722312</v>
      </c>
      <c r="AD82" s="355" t="n">
        <f aca="false">-AD80*$B$82</f>
        <v>539.540424722312</v>
      </c>
      <c r="AE82" s="355" t="n">
        <f aca="false">-AE80*$B$82</f>
        <v>539.540424722312</v>
      </c>
      <c r="AF82" s="355" t="n">
        <f aca="false">-AF80*$B$82</f>
        <v>539.540424722312</v>
      </c>
      <c r="AG82" s="355" t="n">
        <f aca="false">-AG80*$B$82</f>
        <v>539.540424722312</v>
      </c>
      <c r="AH82" s="355" t="n">
        <f aca="false">-AH80*$B$82</f>
        <v>159.693078256769</v>
      </c>
    </row>
    <row r="83" customFormat="false" ht="12.75" hidden="false" customHeight="false" outlineLevel="0" collapsed="false">
      <c r="A83" s="345" t="s">
        <v>290</v>
      </c>
      <c r="B83" s="366" t="n">
        <f aca="false">Assumptions!Q55</f>
        <v>0.35</v>
      </c>
      <c r="C83" s="358"/>
      <c r="D83" s="355" t="n">
        <f aca="false">(D80+D82)*-$B$83</f>
        <v>-745.363571909166</v>
      </c>
      <c r="E83" s="355" t="n">
        <f aca="false">(E80+E82)*-$B$83</f>
        <v>558.946315212641</v>
      </c>
      <c r="F83" s="355" t="n">
        <f aca="false">(F80+F82)*-$B$83</f>
        <v>496.003467113735</v>
      </c>
      <c r="G83" s="355" t="n">
        <f aca="false">(G80+G82)*-$B$83</f>
        <v>428.035720089188</v>
      </c>
      <c r="H83" s="355" t="n">
        <f aca="false">(H80+H82)*-$B$83</f>
        <v>354.641922777481</v>
      </c>
      <c r="I83" s="355" t="n">
        <f aca="false">(I80+I82)*-$B$83</f>
        <v>275.388898811767</v>
      </c>
      <c r="J83" s="355" t="n">
        <f aca="false">(J80+J82)*-$B$83</f>
        <v>189.808890176513</v>
      </c>
      <c r="K83" s="355" t="n">
        <f aca="false">(K80+K82)*-$B$83</f>
        <v>97.3967964603327</v>
      </c>
      <c r="L83" s="355" t="n">
        <f aca="false">(L80+L82)*-$B$83</f>
        <v>-2.39280628913546</v>
      </c>
      <c r="M83" s="355" t="n">
        <f aca="false">(M80+M82)*-$B$83</f>
        <v>-110.148884703287</v>
      </c>
      <c r="N83" s="355" t="n">
        <f aca="false">(N80+N82)*-$B$83</f>
        <v>-226.507424223164</v>
      </c>
      <c r="O83" s="355" t="n">
        <f aca="false">(O80+O82)*-$B$83</f>
        <v>-352.155182739037</v>
      </c>
      <c r="P83" s="355" t="n">
        <f aca="false">(P80+P82)*-$B$83</f>
        <v>-487.833743893254</v>
      </c>
      <c r="Q83" s="355" t="n">
        <f aca="false">(Q80+Q82)*-$B$83</f>
        <v>-634.343893969295</v>
      </c>
      <c r="R83" s="355" t="n">
        <f aca="false">(R80+R82)*-$B$83</f>
        <v>-792.55034819979</v>
      </c>
      <c r="S83" s="355" t="n">
        <f aca="false">(S80+S82)*-$B$83</f>
        <v>-963.386854388577</v>
      </c>
      <c r="T83" s="355" t="n">
        <f aca="false">(T80+T82)*-$B$83</f>
        <v>-1147.8617039688</v>
      </c>
      <c r="U83" s="355" t="n">
        <f aca="false">(U80+U82)*-$B$83</f>
        <v>-1347.0636830238</v>
      </c>
      <c r="V83" s="355" t="n">
        <f aca="false">(V80+V82)*-$B$83</f>
        <v>-1408.20881287932</v>
      </c>
      <c r="W83" s="355" t="n">
        <f aca="false">(W80+W82)*-$B$83</f>
        <v>-1408.20881287932</v>
      </c>
      <c r="X83" s="355" t="n">
        <f aca="false">(X80+X82)*-$B$83</f>
        <v>-1423.01381287932</v>
      </c>
      <c r="Y83" s="355" t="n">
        <f aca="false">(Y80+Y82)*-$B$83</f>
        <v>-1423.01381287932</v>
      </c>
      <c r="Z83" s="355" t="n">
        <f aca="false">(Z80+Z82)*-$B$83</f>
        <v>-1423.01381287932</v>
      </c>
      <c r="AA83" s="355" t="n">
        <f aca="false">(AA80+AA82)*-$B$83</f>
        <v>-1423.01381287932</v>
      </c>
      <c r="AB83" s="355" t="n">
        <f aca="false">(AB80+AB82)*-$B$83</f>
        <v>-1423.01381287932</v>
      </c>
      <c r="AC83" s="355" t="n">
        <f aca="false">(AC80+AC82)*-$B$83</f>
        <v>2958.47999556068</v>
      </c>
      <c r="AD83" s="355" t="n">
        <f aca="false">(AD80+AD82)*-$B$83</f>
        <v>2958.47999556068</v>
      </c>
      <c r="AE83" s="355" t="n">
        <f aca="false">(AE80+AE82)*-$B$83</f>
        <v>2958.47999556068</v>
      </c>
      <c r="AF83" s="355" t="n">
        <f aca="false">(AF80+AF82)*-$B$83</f>
        <v>2958.47999556068</v>
      </c>
      <c r="AG83" s="355" t="n">
        <f aca="false">(AG80+AG82)*-$B$83</f>
        <v>2958.47999556068</v>
      </c>
      <c r="AH83" s="355" t="n">
        <f aca="false">(AH80+AH82)*-$B$83</f>
        <v>875.650379107948</v>
      </c>
    </row>
    <row r="84" customFormat="false" ht="12.75" hidden="false" customHeight="false" outlineLevel="0" collapsed="false">
      <c r="A84" s="114"/>
      <c r="D84" s="343"/>
      <c r="E84" s="343"/>
      <c r="F84" s="343"/>
      <c r="G84" s="343"/>
      <c r="H84" s="343"/>
      <c r="I84" s="343"/>
      <c r="J84" s="343"/>
      <c r="K84" s="343"/>
      <c r="L84" s="343"/>
      <c r="M84" s="343"/>
      <c r="N84" s="343"/>
      <c r="O84" s="343"/>
      <c r="P84" s="343"/>
      <c r="Q84" s="343"/>
      <c r="R84" s="343"/>
      <c r="S84" s="343"/>
      <c r="T84" s="343"/>
      <c r="U84" s="343"/>
      <c r="V84" s="343"/>
      <c r="W84" s="343"/>
      <c r="X84" s="343"/>
      <c r="Y84" s="343"/>
      <c r="Z84" s="343"/>
      <c r="AA84" s="343"/>
      <c r="AB84" s="343"/>
      <c r="AC84" s="343"/>
      <c r="AD84" s="343"/>
      <c r="AE84" s="343"/>
      <c r="AF84" s="343"/>
      <c r="AG84" s="343"/>
      <c r="AH84" s="343"/>
    </row>
    <row r="85" customFormat="false" ht="16.5" hidden="false" customHeight="false" outlineLevel="0" collapsed="false">
      <c r="A85" s="367" t="s">
        <v>291</v>
      </c>
      <c r="B85" s="5"/>
      <c r="C85" s="5"/>
      <c r="D85" s="368" t="n">
        <f aca="false">D80+D82+D83</f>
        <v>1384.24663354559</v>
      </c>
      <c r="E85" s="368" t="n">
        <f aca="false">E80+E82+E83</f>
        <v>-1038.04315682348</v>
      </c>
      <c r="F85" s="368" t="n">
        <f aca="false">F80+F82+F83</f>
        <v>-921.149296068364</v>
      </c>
      <c r="G85" s="368" t="n">
        <f aca="false">G80+G82+G83</f>
        <v>-794.923480165635</v>
      </c>
      <c r="H85" s="368" t="n">
        <f aca="false">H80+H82+H83</f>
        <v>-658.620713729609</v>
      </c>
      <c r="I85" s="368" t="n">
        <f aca="false">I80+I82+I83</f>
        <v>-511.436526364711</v>
      </c>
      <c r="J85" s="368" t="n">
        <f aca="false">J80+J82+J83</f>
        <v>-352.502224613524</v>
      </c>
      <c r="K85" s="368" t="n">
        <f aca="false">K80+K82+K83</f>
        <v>-180.879764854904</v>
      </c>
      <c r="L85" s="368" t="n">
        <f aca="false">L80+L82+L83</f>
        <v>4.44378310839442</v>
      </c>
      <c r="M85" s="368" t="n">
        <f aca="false">M80+M82+M83</f>
        <v>204.562214448962</v>
      </c>
      <c r="N85" s="368" t="n">
        <f aca="false">N80+N82+N83</f>
        <v>420.656644985876</v>
      </c>
      <c r="O85" s="368" t="n">
        <f aca="false">O80+O82+O83</f>
        <v>654.002482229639</v>
      </c>
      <c r="P85" s="368" t="n">
        <f aca="false">P80+P82+P83</f>
        <v>905.976952944614</v>
      </c>
      <c r="Q85" s="368" t="n">
        <f aca="false">Q80+Q82+Q83</f>
        <v>1178.06723165726</v>
      </c>
      <c r="R85" s="368" t="n">
        <f aca="false">R80+R82+R83</f>
        <v>1471.87921808532</v>
      </c>
      <c r="S85" s="368" t="n">
        <f aca="false">S80+S82+S83</f>
        <v>1789.14701529307</v>
      </c>
      <c r="T85" s="368" t="n">
        <f aca="false">T80+T82+T83</f>
        <v>2131.74316451349</v>
      </c>
      <c r="U85" s="368" t="n">
        <f aca="false">U80+U82+U83</f>
        <v>2501.68969704419</v>
      </c>
      <c r="V85" s="368" t="n">
        <f aca="false">V80+V82+V83</f>
        <v>2615.24493820445</v>
      </c>
      <c r="W85" s="368" t="n">
        <f aca="false">W80+W82+W83</f>
        <v>2615.24493820445</v>
      </c>
      <c r="X85" s="368" t="n">
        <f aca="false">X80+X82+X83</f>
        <v>2642.73993820445</v>
      </c>
      <c r="Y85" s="368" t="n">
        <f aca="false">Y80+Y82+Y83</f>
        <v>2642.73993820445</v>
      </c>
      <c r="Z85" s="368" t="n">
        <f aca="false">Z80+Z82+Z83</f>
        <v>2642.73993820445</v>
      </c>
      <c r="AA85" s="368" t="n">
        <f aca="false">AA80+AA82+AA83</f>
        <v>2642.73993820445</v>
      </c>
      <c r="AB85" s="368" t="n">
        <f aca="false">AB80+AB82+AB83</f>
        <v>2642.73993820445</v>
      </c>
      <c r="AC85" s="368" t="n">
        <f aca="false">AC80+AC82+AC83</f>
        <v>-5494.31999175555</v>
      </c>
      <c r="AD85" s="368" t="n">
        <f aca="false">AD80+AD82+AD83</f>
        <v>-5494.31999175555</v>
      </c>
      <c r="AE85" s="368" t="n">
        <f aca="false">AE80+AE82+AE83</f>
        <v>-5494.31999175555</v>
      </c>
      <c r="AF85" s="368" t="n">
        <f aca="false">AF80+AF82+AF83</f>
        <v>-5494.31999175555</v>
      </c>
      <c r="AG85" s="368" t="n">
        <f aca="false">AG80+AG82+AG83</f>
        <v>-5494.31999175555</v>
      </c>
      <c r="AH85" s="368" t="n">
        <f aca="false">AH80+AH82+AH83</f>
        <v>-1626.20784691476</v>
      </c>
    </row>
    <row r="86" customFormat="false" ht="13.5" hidden="false" customHeight="false" outlineLevel="0" collapsed="false"/>
    <row r="87" customFormat="false" ht="12.75" hidden="false" customHeight="false" outlineLevel="0" collapsed="false">
      <c r="C87" s="268"/>
      <c r="D87" s="334"/>
      <c r="E87" s="334"/>
      <c r="F87" s="334"/>
      <c r="G87" s="334"/>
      <c r="H87" s="334"/>
      <c r="I87" s="334"/>
      <c r="J87" s="334"/>
      <c r="K87" s="334"/>
      <c r="L87" s="334"/>
      <c r="M87" s="334"/>
      <c r="N87" s="334"/>
      <c r="O87" s="334"/>
      <c r="P87" s="334"/>
      <c r="Q87" s="334"/>
      <c r="R87" s="334"/>
      <c r="S87" s="334"/>
      <c r="T87" s="334"/>
      <c r="U87" s="334"/>
      <c r="V87" s="334"/>
      <c r="W87" s="334"/>
      <c r="X87" s="334"/>
      <c r="Y87" s="334"/>
      <c r="Z87" s="334"/>
      <c r="AA87" s="334"/>
      <c r="AB87" s="334"/>
      <c r="AC87" s="334"/>
    </row>
    <row r="88" customFormat="false" ht="12.75" hidden="false" customHeight="false" outlineLevel="0" collapsed="false">
      <c r="C88" s="268"/>
      <c r="D88" s="369"/>
      <c r="E88" s="369"/>
      <c r="F88" s="369"/>
      <c r="G88" s="369"/>
      <c r="H88" s="369"/>
    </row>
    <row r="89" customFormat="false" ht="12.75" hidden="false" customHeight="false" outlineLevel="0" collapsed="false">
      <c r="C89" s="268"/>
      <c r="D89" s="369"/>
      <c r="E89" s="369"/>
      <c r="F89" s="369"/>
      <c r="G89" s="369"/>
      <c r="H89" s="369"/>
    </row>
    <row r="90" customFormat="false" ht="12.75" hidden="false" customHeight="false" outlineLevel="0" collapsed="false">
      <c r="C90" s="268"/>
      <c r="D90" s="369"/>
      <c r="E90" s="369"/>
      <c r="F90" s="369"/>
      <c r="G90" s="369"/>
      <c r="H90" s="369"/>
    </row>
    <row r="91" customFormat="false" ht="12.75" hidden="false" customHeight="false" outlineLevel="0" collapsed="false">
      <c r="C91" s="268"/>
      <c r="D91" s="370"/>
      <c r="E91" s="370"/>
      <c r="F91" s="370"/>
      <c r="G91" s="370"/>
      <c r="H91" s="370"/>
    </row>
    <row r="92" customFormat="false" ht="12.75" hidden="false" customHeight="false" outlineLevel="0" collapsed="false">
      <c r="C92" s="371"/>
      <c r="D92" s="369"/>
      <c r="E92" s="369"/>
      <c r="F92" s="369"/>
      <c r="G92" s="369"/>
      <c r="H92" s="369"/>
    </row>
    <row r="93" customFormat="false" ht="12.75" hidden="false" customHeight="false" outlineLevel="0" collapsed="false">
      <c r="C93" s="371"/>
      <c r="D93" s="369"/>
      <c r="E93" s="369"/>
      <c r="F93" s="369"/>
      <c r="G93" s="369"/>
      <c r="H93" s="369"/>
    </row>
    <row r="94" customFormat="false" ht="12.75" hidden="false" customHeight="false" outlineLevel="0" collapsed="false">
      <c r="C94" s="371"/>
      <c r="D94" s="369"/>
      <c r="E94" s="369"/>
      <c r="F94" s="369"/>
      <c r="G94" s="369"/>
      <c r="H94" s="369"/>
    </row>
    <row r="95" customFormat="false" ht="12.75" hidden="false" customHeight="false" outlineLevel="0" collapsed="false">
      <c r="C95" s="371"/>
      <c r="D95" s="369"/>
      <c r="E95" s="369"/>
      <c r="F95" s="369"/>
      <c r="G95" s="369"/>
      <c r="H95" s="369"/>
    </row>
    <row r="96" customFormat="false" ht="12.75" hidden="false" customHeight="false" outlineLevel="0" collapsed="false">
      <c r="C96" s="371"/>
      <c r="D96" s="369"/>
      <c r="E96" s="369"/>
      <c r="F96" s="369"/>
      <c r="G96" s="369"/>
      <c r="H96" s="369"/>
    </row>
    <row r="97" customFormat="false" ht="12.75" hidden="false" customHeight="false" outlineLevel="0" collapsed="false">
      <c r="C97" s="268"/>
      <c r="D97" s="370"/>
      <c r="E97" s="370"/>
      <c r="F97" s="370"/>
      <c r="G97" s="370"/>
      <c r="H97" s="370"/>
    </row>
    <row r="98" customFormat="false" ht="12.75" hidden="false" customHeight="false" outlineLevel="0" collapsed="false">
      <c r="C98" s="268"/>
      <c r="D98" s="370"/>
      <c r="E98" s="370"/>
      <c r="F98" s="370"/>
      <c r="G98" s="370"/>
      <c r="H98" s="370"/>
    </row>
    <row r="99" customFormat="false" ht="12.75" hidden="false" customHeight="false" outlineLevel="0" collapsed="false">
      <c r="C99" s="268"/>
      <c r="D99" s="372"/>
      <c r="E99" s="372"/>
      <c r="F99" s="372"/>
      <c r="G99" s="372"/>
      <c r="H99" s="370"/>
    </row>
    <row r="100" customFormat="false" ht="12.75" hidden="false" customHeight="false" outlineLevel="0" collapsed="false">
      <c r="C100" s="268"/>
      <c r="D100" s="370"/>
      <c r="E100" s="370"/>
      <c r="F100" s="370"/>
      <c r="G100" s="370"/>
      <c r="H100" s="370"/>
    </row>
    <row r="101" customFormat="false" ht="12.75" hidden="false" customHeight="false" outlineLevel="0" collapsed="false">
      <c r="C101" s="268"/>
      <c r="D101" s="372"/>
      <c r="E101" s="370"/>
      <c r="F101" s="370"/>
      <c r="G101" s="370"/>
      <c r="H101" s="370"/>
    </row>
    <row r="102" customFormat="false" ht="12.75" hidden="false" customHeight="false" outlineLevel="0" collapsed="false">
      <c r="C102" s="268"/>
      <c r="D102" s="370"/>
      <c r="E102" s="370"/>
      <c r="F102" s="370"/>
      <c r="G102" s="370"/>
      <c r="H102" s="370"/>
    </row>
    <row r="103" customFormat="false" ht="12.75" hidden="false" customHeight="false" outlineLevel="0" collapsed="false">
      <c r="C103" s="268"/>
      <c r="D103" s="370"/>
      <c r="E103" s="370"/>
      <c r="F103" s="370"/>
      <c r="G103" s="370"/>
      <c r="H103" s="370"/>
    </row>
  </sheetData>
  <printOptions headings="false" gridLines="false" gridLinesSet="true" horizontalCentered="false" verticalCentered="false"/>
  <pageMargins left="0.25" right="0.25" top="0.25" bottom="0.5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&amp;L&amp;T, &amp;D&amp;C&amp;F&amp;R&amp;P 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AJ42"/>
  <sheetViews>
    <sheetView showFormulas="false" showGridLines="false" showRowColHeaders="true" showZeros="true" rightToLeft="false" tabSelected="false" showOutlineSymbols="true" defaultGridColor="true" view="normal" topLeftCell="A9" colorId="64" zoomScale="75" zoomScaleNormal="75" zoomScalePageLayoutView="100" workbookViewId="0">
      <selection pane="topLeft" activeCell="A22" activeCellId="0" sqref="A2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6.28"/>
    <col collapsed="false" customWidth="true" hidden="false" outlineLevel="0" max="5" min="5" style="0" width="14.41"/>
    <col collapsed="false" customWidth="true" hidden="false" outlineLevel="0" max="21" min="6" style="0" width="16.7"/>
    <col collapsed="false" customWidth="true" hidden="false" outlineLevel="0" max="25" min="22" style="0" width="17.7"/>
    <col collapsed="false" customWidth="true" hidden="false" outlineLevel="0" max="26" min="26" style="0" width="24.56"/>
    <col collapsed="false" customWidth="true" hidden="false" outlineLevel="0" max="30" min="27" style="0" width="17.7"/>
    <col collapsed="false" customWidth="true" hidden="false" outlineLevel="0" max="36" min="31" style="0" width="17.28"/>
  </cols>
  <sheetData>
    <row r="3" customFormat="false" ht="13.5" hidden="false" customHeight="false" outlineLevel="0" collapsed="false">
      <c r="D3" s="373" t="s">
        <v>292</v>
      </c>
      <c r="F3" s="374" t="n">
        <v>37256</v>
      </c>
      <c r="G3" s="374" t="n">
        <v>37621</v>
      </c>
      <c r="H3" s="374" t="n">
        <v>37986</v>
      </c>
      <c r="I3" s="374" t="n">
        <v>38352</v>
      </c>
      <c r="J3" s="374" t="n">
        <v>38717</v>
      </c>
      <c r="K3" s="374" t="n">
        <v>39082</v>
      </c>
      <c r="L3" s="374" t="n">
        <v>39447</v>
      </c>
      <c r="M3" s="374" t="n">
        <v>39813</v>
      </c>
      <c r="N3" s="374" t="n">
        <v>40178</v>
      </c>
      <c r="O3" s="374" t="n">
        <v>40543</v>
      </c>
      <c r="P3" s="374" t="n">
        <v>40908</v>
      </c>
      <c r="Q3" s="374" t="n">
        <v>41274</v>
      </c>
      <c r="R3" s="374" t="n">
        <v>41639</v>
      </c>
      <c r="S3" s="374" t="n">
        <v>42004</v>
      </c>
      <c r="T3" s="374" t="n">
        <v>42369</v>
      </c>
      <c r="U3" s="374" t="n">
        <v>42735</v>
      </c>
      <c r="V3" s="374" t="n">
        <v>43100</v>
      </c>
      <c r="W3" s="374" t="n">
        <v>43465</v>
      </c>
      <c r="X3" s="374" t="n">
        <v>43830</v>
      </c>
      <c r="Y3" s="374" t="n">
        <v>44196</v>
      </c>
      <c r="Z3" s="374" t="n">
        <v>44561</v>
      </c>
      <c r="AA3" s="374" t="n">
        <v>44926</v>
      </c>
      <c r="AB3" s="374" t="n">
        <v>45291</v>
      </c>
      <c r="AC3" s="374" t="n">
        <v>45657</v>
      </c>
      <c r="AD3" s="374" t="n">
        <v>46022</v>
      </c>
      <c r="AE3" s="374" t="n">
        <v>46387</v>
      </c>
      <c r="AF3" s="374" t="n">
        <v>46752</v>
      </c>
      <c r="AG3" s="374" t="n">
        <v>47118</v>
      </c>
      <c r="AH3" s="374" t="n">
        <v>47483</v>
      </c>
      <c r="AI3" s="374" t="n">
        <v>47848</v>
      </c>
      <c r="AJ3" s="374" t="n">
        <v>48213</v>
      </c>
    </row>
    <row r="5" customFormat="false" ht="12.75" hidden="false" customHeight="false" outlineLevel="0" collapsed="false">
      <c r="D5" s="375" t="s">
        <v>284</v>
      </c>
      <c r="F5" s="376" t="n">
        <f aca="false">+IS!D72</f>
        <v>7180.85545774194</v>
      </c>
      <c r="G5" s="376" t="n">
        <f aca="false">+IS!E72</f>
        <v>10656.0590557205</v>
      </c>
      <c r="H5" s="376" t="n">
        <f aca="false">+IS!F72</f>
        <v>10656.0590557205</v>
      </c>
      <c r="I5" s="376" t="n">
        <f aca="false">+IS!G72</f>
        <v>10656.0590557205</v>
      </c>
      <c r="J5" s="376" t="n">
        <f aca="false">+IS!H72</f>
        <v>10656.0590557205</v>
      </c>
      <c r="K5" s="376" t="n">
        <f aca="false">+IS!I72</f>
        <v>10656.0590557205</v>
      </c>
      <c r="L5" s="376" t="n">
        <f aca="false">+IS!J72</f>
        <v>10656.0590557205</v>
      </c>
      <c r="M5" s="376" t="n">
        <f aca="false">+IS!K72</f>
        <v>10656.0590557205</v>
      </c>
      <c r="N5" s="376" t="n">
        <f aca="false">+IS!L72</f>
        <v>10656.0590557205</v>
      </c>
      <c r="O5" s="376" t="n">
        <f aca="false">+IS!M72</f>
        <v>10656.0590557205</v>
      </c>
      <c r="P5" s="376" t="n">
        <f aca="false">+IS!N72</f>
        <v>10656.0590557205</v>
      </c>
      <c r="Q5" s="376" t="n">
        <f aca="false">+IS!O72</f>
        <v>10656.0590557205</v>
      </c>
      <c r="R5" s="376" t="n">
        <f aca="false">+IS!P72</f>
        <v>10656.0590557205</v>
      </c>
      <c r="S5" s="376" t="n">
        <f aca="false">+IS!Q72</f>
        <v>10656.0590557205</v>
      </c>
      <c r="T5" s="376" t="n">
        <f aca="false">+IS!R72</f>
        <v>10656.0590557205</v>
      </c>
      <c r="U5" s="376" t="n">
        <f aca="false">+IS!S72</f>
        <v>10656.0590557205</v>
      </c>
      <c r="V5" s="376" t="n">
        <f aca="false">+IS!T72</f>
        <v>10656.0590557205</v>
      </c>
      <c r="W5" s="376" t="n">
        <f aca="false">+IS!U72</f>
        <v>10656.0590557205</v>
      </c>
      <c r="X5" s="376" t="n">
        <f aca="false">+IS!V72</f>
        <v>10656.0590557205</v>
      </c>
      <c r="Y5" s="376" t="n">
        <f aca="false">+IS!W72</f>
        <v>10656.0590557205</v>
      </c>
      <c r="Z5" s="376" t="n">
        <f aca="false">+IS!X72</f>
        <v>10656.0590557205</v>
      </c>
      <c r="AA5" s="376" t="n">
        <f aca="false">+IS!Y72</f>
        <v>10656.0590557205</v>
      </c>
      <c r="AB5" s="376" t="n">
        <f aca="false">+IS!Z72</f>
        <v>10656.0590557205</v>
      </c>
      <c r="AC5" s="376" t="n">
        <f aca="false">+IS!AA72</f>
        <v>10656.0590557205</v>
      </c>
      <c r="AD5" s="376" t="n">
        <f aca="false">+IS!AB72</f>
        <v>10656.0590557205</v>
      </c>
      <c r="AE5" s="376" t="n">
        <f aca="false">+IS!AC72</f>
        <v>-2661.55130427948</v>
      </c>
      <c r="AF5" s="376" t="n">
        <f aca="false">+IS!AD72</f>
        <v>-2661.55130427948</v>
      </c>
      <c r="AG5" s="376" t="n">
        <f aca="false">+IS!AE72</f>
        <v>-2661.55130427948</v>
      </c>
      <c r="AH5" s="376" t="n">
        <f aca="false">+IS!AF72</f>
        <v>-2661.55130427948</v>
      </c>
      <c r="AI5" s="376" t="n">
        <f aca="false">+IS!AG72</f>
        <v>-2661.55130427948</v>
      </c>
      <c r="AJ5" s="376" t="n">
        <f aca="false">+IS!AH72</f>
        <v>-2661.55130427948</v>
      </c>
    </row>
    <row r="6" customFormat="false" ht="12.75" hidden="false" customHeight="false" outlineLevel="0" collapsed="false">
      <c r="D6" s="375" t="s">
        <v>293</v>
      </c>
      <c r="F6" s="377" t="n">
        <f aca="false">+Debt!C48</f>
        <v>2063.83772288893</v>
      </c>
      <c r="G6" s="377" t="n">
        <f aca="false">+Debt!D48</f>
        <v>5979.19491821265</v>
      </c>
      <c r="H6" s="377" t="n">
        <f aca="false">+Debt!E48</f>
        <v>5787.87927049561</v>
      </c>
      <c r="I6" s="377" t="n">
        <f aca="false">+Debt!F48</f>
        <v>5581.29037376447</v>
      </c>
      <c r="J6" s="377" t="n">
        <f aca="false">+Debt!G48</f>
        <v>5358.208922969</v>
      </c>
      <c r="K6" s="377" t="n">
        <f aca="false">+Debt!H48</f>
        <v>5117.31827261729</v>
      </c>
      <c r="L6" s="377" t="n">
        <f aca="false">+Debt!I48</f>
        <v>4857.1966658232</v>
      </c>
      <c r="M6" s="377" t="n">
        <f aca="false">+Debt!J48</f>
        <v>4576.30884297767</v>
      </c>
      <c r="N6" s="377" t="n">
        <f aca="false">+Debt!K48</f>
        <v>4272.99698051728</v>
      </c>
      <c r="O6" s="377" t="n">
        <f aca="false">+Debt!L48</f>
        <v>3945.47090631013</v>
      </c>
      <c r="P6" s="377" t="n">
        <f aca="false">+Debt!M48</f>
        <v>3591.79753390929</v>
      </c>
      <c r="Q6" s="377" t="n">
        <f aca="false">+Debt!N48</f>
        <v>3209.88945331393</v>
      </c>
      <c r="R6" s="377" t="n">
        <f aca="false">+Debt!O48</f>
        <v>2797.4926108999</v>
      </c>
      <c r="S6" s="377" t="n">
        <f aca="false">+Debt!P48</f>
        <v>2352.17300580555</v>
      </c>
      <c r="T6" s="377" t="n">
        <f aca="false">+Debt!Q48</f>
        <v>1871.30232425389</v>
      </c>
      <c r="U6" s="377" t="n">
        <f aca="false">+Debt!R48</f>
        <v>1352.04242702354</v>
      </c>
      <c r="V6" s="377" t="n">
        <f aca="false">+Debt!S48</f>
        <v>791.328598512212</v>
      </c>
      <c r="W6" s="377" t="n">
        <f aca="false">+Debt!T48</f>
        <v>185.85145852743</v>
      </c>
      <c r="X6" s="377" t="n">
        <f aca="false">+Debt!U48</f>
        <v>0</v>
      </c>
      <c r="Y6" s="377" t="n">
        <f aca="false">+Debt!V48</f>
        <v>0</v>
      </c>
      <c r="Z6" s="377" t="n">
        <f aca="false">+Debt!W48</f>
        <v>0</v>
      </c>
      <c r="AA6" s="377" t="n">
        <f aca="false">+Debt!X48</f>
        <v>0</v>
      </c>
      <c r="AB6" s="377" t="n">
        <f aca="false">+Debt!Y48</f>
        <v>0</v>
      </c>
      <c r="AC6" s="377" t="n">
        <f aca="false">+Debt!Z48</f>
        <v>0</v>
      </c>
      <c r="AD6" s="377" t="n">
        <f aca="false">+Debt!AA48</f>
        <v>0</v>
      </c>
      <c r="AE6" s="377" t="n">
        <f aca="false">+Debt!AB48</f>
        <v>0</v>
      </c>
      <c r="AF6" s="377" t="n">
        <f aca="false">+Debt!AC48</f>
        <v>0</v>
      </c>
      <c r="AG6" s="377" t="n">
        <f aca="false">+Debt!AD48</f>
        <v>0</v>
      </c>
      <c r="AH6" s="377" t="n">
        <f aca="false">+Debt!AE48</f>
        <v>0</v>
      </c>
      <c r="AI6" s="377" t="n">
        <f aca="false">+Debt!AF48</f>
        <v>0</v>
      </c>
      <c r="AJ6" s="377" t="n">
        <f aca="false">+Debt!AG48</f>
        <v>0</v>
      </c>
    </row>
    <row r="7" customFormat="false" ht="12.75" hidden="false" customHeight="false" outlineLevel="0" collapsed="false">
      <c r="D7" s="375" t="s">
        <v>294</v>
      </c>
      <c r="F7" s="376" t="n">
        <f aca="false">+F5-F6</f>
        <v>5117.01773485301</v>
      </c>
      <c r="G7" s="376" t="n">
        <f aca="false">+G5-G6</f>
        <v>4676.86413750788</v>
      </c>
      <c r="H7" s="376" t="n">
        <f aca="false">+H5-H6</f>
        <v>4868.17978522492</v>
      </c>
      <c r="I7" s="376" t="n">
        <f aca="false">+I5-I6</f>
        <v>5074.76868195606</v>
      </c>
      <c r="J7" s="376" t="n">
        <f aca="false">+J5-J6</f>
        <v>5297.85013275152</v>
      </c>
      <c r="K7" s="376" t="n">
        <f aca="false">+K5-K6</f>
        <v>5538.74078310324</v>
      </c>
      <c r="L7" s="376" t="n">
        <f aca="false">+L5-L6</f>
        <v>5798.86238989732</v>
      </c>
      <c r="M7" s="376" t="n">
        <f aca="false">+M5-M6</f>
        <v>6079.75021274286</v>
      </c>
      <c r="N7" s="376" t="n">
        <f aca="false">+N5-N6</f>
        <v>6383.06207520325</v>
      </c>
      <c r="O7" s="376" t="n">
        <f aca="false">+O5-O6</f>
        <v>6710.58814941039</v>
      </c>
      <c r="P7" s="376" t="n">
        <f aca="false">+P5-P6</f>
        <v>7064.26152181123</v>
      </c>
      <c r="Q7" s="376" t="n">
        <f aca="false">+Q5-Q6</f>
        <v>7446.16960240659</v>
      </c>
      <c r="R7" s="376" t="n">
        <f aca="false">+R5-R6</f>
        <v>7858.56644482063</v>
      </c>
      <c r="S7" s="376" t="n">
        <f aca="false">+S5-S6</f>
        <v>8303.88604991497</v>
      </c>
      <c r="T7" s="376" t="n">
        <f aca="false">+T5-T6</f>
        <v>8784.75673146663</v>
      </c>
      <c r="U7" s="376" t="n">
        <f aca="false">+U5-U6</f>
        <v>9304.01662869699</v>
      </c>
      <c r="V7" s="376" t="n">
        <f aca="false">+V5-V6</f>
        <v>9864.73045720831</v>
      </c>
      <c r="W7" s="376" t="n">
        <f aca="false">+W5-W6</f>
        <v>10470.2075971931</v>
      </c>
      <c r="X7" s="376" t="n">
        <f aca="false">+X5-X6</f>
        <v>10656.0590557205</v>
      </c>
      <c r="Y7" s="376" t="n">
        <f aca="false">+Y5-Y6</f>
        <v>10656.0590557205</v>
      </c>
      <c r="Z7" s="376" t="n">
        <f aca="false">+Z5-Z6</f>
        <v>10656.0590557205</v>
      </c>
      <c r="AA7" s="376" t="n">
        <f aca="false">+AA5-AA6</f>
        <v>10656.0590557205</v>
      </c>
      <c r="AB7" s="376" t="n">
        <f aca="false">+AB5-AB6</f>
        <v>10656.0590557205</v>
      </c>
      <c r="AC7" s="376" t="n">
        <f aca="false">+AC5-AC6</f>
        <v>10656.0590557205</v>
      </c>
      <c r="AD7" s="376" t="n">
        <f aca="false">+AD5-AD6</f>
        <v>10656.0590557205</v>
      </c>
      <c r="AE7" s="376" t="n">
        <f aca="false">+AE5-AE6</f>
        <v>-2661.55130427948</v>
      </c>
      <c r="AF7" s="376" t="n">
        <f aca="false">+AF5-AF6</f>
        <v>-2661.55130427948</v>
      </c>
      <c r="AG7" s="376" t="n">
        <f aca="false">+AG5-AG6</f>
        <v>-2661.55130427948</v>
      </c>
      <c r="AH7" s="376" t="n">
        <f aca="false">+AH5-AH6</f>
        <v>-2661.55130427948</v>
      </c>
      <c r="AI7" s="376" t="n">
        <f aca="false">+AI5-AI6</f>
        <v>-2661.55130427948</v>
      </c>
      <c r="AJ7" s="376" t="n">
        <f aca="false">+AJ5-AJ6</f>
        <v>-2661.55130427948</v>
      </c>
    </row>
    <row r="8" customFormat="false" ht="12.75" hidden="false" customHeight="false" outlineLevel="0" collapsed="false">
      <c r="D8" s="375"/>
      <c r="F8" s="376"/>
      <c r="G8" s="376"/>
      <c r="H8" s="376"/>
      <c r="I8" s="376"/>
      <c r="J8" s="376"/>
      <c r="K8" s="376"/>
      <c r="L8" s="376"/>
      <c r="M8" s="376"/>
      <c r="N8" s="376"/>
      <c r="O8" s="376"/>
      <c r="P8" s="376"/>
      <c r="Q8" s="376"/>
      <c r="R8" s="376"/>
      <c r="S8" s="376"/>
      <c r="T8" s="376"/>
      <c r="U8" s="376"/>
      <c r="V8" s="376"/>
      <c r="W8" s="376"/>
      <c r="X8" s="376"/>
      <c r="Y8" s="376"/>
      <c r="Z8" s="376"/>
      <c r="AA8" s="376"/>
      <c r="AB8" s="376"/>
      <c r="AC8" s="376"/>
      <c r="AD8" s="376"/>
      <c r="AE8" s="376"/>
      <c r="AF8" s="376"/>
      <c r="AG8" s="376"/>
      <c r="AH8" s="376"/>
      <c r="AI8" s="376"/>
      <c r="AJ8" s="376"/>
    </row>
    <row r="9" customFormat="false" ht="12.75" hidden="false" customHeight="false" outlineLevel="0" collapsed="false">
      <c r="D9" s="375" t="s">
        <v>295</v>
      </c>
      <c r="F9" s="376" t="n">
        <f aca="false">+-Tax!B46+-Tax!B30</f>
        <v>-0</v>
      </c>
      <c r="G9" s="376" t="n">
        <f aca="false">+-Tax!C46+-Tax!C30</f>
        <v>-0</v>
      </c>
      <c r="H9" s="376" t="n">
        <f aca="false">+-Tax!D46+-Tax!D30</f>
        <v>-0</v>
      </c>
      <c r="I9" s="376" t="n">
        <f aca="false">+-Tax!E46+-Tax!E30</f>
        <v>-0</v>
      </c>
      <c r="J9" s="376" t="n">
        <f aca="false">+-Tax!F46+-Tax!F30</f>
        <v>-0</v>
      </c>
      <c r="K9" s="376" t="n">
        <f aca="false">+-Tax!G46+-Tax!G30</f>
        <v>-0</v>
      </c>
      <c r="L9" s="376" t="n">
        <f aca="false">+-Tax!H46+-Tax!H30</f>
        <v>-0</v>
      </c>
      <c r="M9" s="376" t="n">
        <f aca="false">+-Tax!I46+-Tax!I30</f>
        <v>-0</v>
      </c>
      <c r="N9" s="376" t="n">
        <f aca="false">+-Tax!J46+-Tax!J30</f>
        <v>-0</v>
      </c>
      <c r="O9" s="376" t="n">
        <f aca="false">+-Tax!K46+-Tax!K30</f>
        <v>-0</v>
      </c>
      <c r="P9" s="376" t="n">
        <f aca="false">+-Tax!L46+-Tax!L30</f>
        <v>-0</v>
      </c>
      <c r="Q9" s="376" t="n">
        <f aca="false">+-Tax!M46+-Tax!M30</f>
        <v>-0</v>
      </c>
      <c r="R9" s="376" t="n">
        <f aca="false">+-Tax!N46+-Tax!N30</f>
        <v>-0</v>
      </c>
      <c r="S9" s="376" t="n">
        <f aca="false">+-Tax!O46+-Tax!O30</f>
        <v>-0</v>
      </c>
      <c r="T9" s="376" t="n">
        <f aca="false">+-Tax!P46+-Tax!P30</f>
        <v>-0</v>
      </c>
      <c r="U9" s="376" t="n">
        <f aca="false">+-Tax!Q46+-Tax!Q30</f>
        <v>-0</v>
      </c>
      <c r="V9" s="376" t="n">
        <f aca="false">+-Tax!R46+-Tax!R30</f>
        <v>-0</v>
      </c>
      <c r="W9" s="376" t="n">
        <f aca="false">+-Tax!S46+-Tax!S30</f>
        <v>-0</v>
      </c>
      <c r="X9" s="376" t="n">
        <f aca="false">+-Tax!T46+-Tax!T30</f>
        <v>-3158.69714189766</v>
      </c>
      <c r="Y9" s="376" t="n">
        <f aca="false">+-Tax!U46+-Tax!U30</f>
        <v>-4127.70197267528</v>
      </c>
      <c r="Z9" s="376" t="n">
        <f aca="false">+-Tax!V46+-Tax!V30</f>
        <v>-4145.20697267528</v>
      </c>
      <c r="AA9" s="376" t="n">
        <f aca="false">+-Tax!W46+-Tax!W30</f>
        <v>-4145.20697267528</v>
      </c>
      <c r="AB9" s="376" t="n">
        <f aca="false">+-Tax!X46+-Tax!X30</f>
        <v>-4145.20697267528</v>
      </c>
      <c r="AC9" s="376" t="n">
        <f aca="false">+-Tax!Y46+-Tax!Y30</f>
        <v>-4145.20697267528</v>
      </c>
      <c r="AD9" s="376" t="n">
        <f aca="false">+-Tax!Z46+-Tax!Z30</f>
        <v>-4145.20697267528</v>
      </c>
      <c r="AE9" s="376" t="n">
        <f aca="false">+-Tax!AA46+-Tax!AA30</f>
        <v>-0</v>
      </c>
      <c r="AF9" s="376" t="n">
        <f aca="false">+-Tax!AB46+-Tax!AB30</f>
        <v>-0</v>
      </c>
      <c r="AG9" s="376" t="n">
        <f aca="false">+-Tax!AC46+-Tax!AC30</f>
        <v>-0</v>
      </c>
      <c r="AH9" s="376" t="n">
        <f aca="false">+-Tax!AD46+-Tax!AD30</f>
        <v>-0</v>
      </c>
      <c r="AI9" s="376" t="n">
        <f aca="false">+-Tax!AE46+-Tax!AE30</f>
        <v>-0</v>
      </c>
      <c r="AJ9" s="376" t="n">
        <f aca="false">+-Tax!AF46+-Tax!AF30</f>
        <v>-0</v>
      </c>
    </row>
    <row r="10" customFormat="false" ht="12.75" hidden="false" customHeight="false" outlineLevel="0" collapsed="false">
      <c r="D10" s="375" t="s">
        <v>296</v>
      </c>
      <c r="E10" s="378"/>
      <c r="F10" s="379" t="n">
        <f aca="false">+Debt!C50</f>
        <v>2123.98799228771</v>
      </c>
      <c r="G10" s="379" t="n">
        <f aca="false">+Debt!D50</f>
        <v>2396.45651214064</v>
      </c>
      <c r="H10" s="379" t="n">
        <f aca="false">+Debt!E50</f>
        <v>2587.77215985768</v>
      </c>
      <c r="I10" s="379" t="n">
        <f aca="false">+Debt!F50</f>
        <v>2794.36105658882</v>
      </c>
      <c r="J10" s="379" t="n">
        <f aca="false">+Debt!G50</f>
        <v>3017.44250738428</v>
      </c>
      <c r="K10" s="379" t="n">
        <f aca="false">+Debt!H50</f>
        <v>3258.333157736</v>
      </c>
      <c r="L10" s="379" t="n">
        <f aca="false">+Debt!I50</f>
        <v>3518.45476453008</v>
      </c>
      <c r="M10" s="379" t="n">
        <f aca="false">+Debt!J50</f>
        <v>3799.34258737562</v>
      </c>
      <c r="N10" s="379" t="n">
        <f aca="false">+Debt!K50</f>
        <v>4102.65444983601</v>
      </c>
      <c r="O10" s="379" t="n">
        <f aca="false">+Debt!L50</f>
        <v>4430.18052404315</v>
      </c>
      <c r="P10" s="379" t="n">
        <f aca="false">+Debt!M50</f>
        <v>4783.853896444</v>
      </c>
      <c r="Q10" s="379" t="n">
        <f aca="false">+Debt!N50</f>
        <v>5165.76197703935</v>
      </c>
      <c r="R10" s="379" t="n">
        <f aca="false">+Debt!O50</f>
        <v>5578.15881945339</v>
      </c>
      <c r="S10" s="379" t="n">
        <f aca="false">+Debt!P50</f>
        <v>6023.47842454774</v>
      </c>
      <c r="T10" s="379" t="n">
        <f aca="false">+Debt!Q50</f>
        <v>6504.34910609939</v>
      </c>
      <c r="U10" s="379" t="n">
        <f aca="false">+Debt!R50</f>
        <v>7023.60900332975</v>
      </c>
      <c r="V10" s="379" t="n">
        <f aca="false">+Debt!S50</f>
        <v>7584.32283184107</v>
      </c>
      <c r="W10" s="379" t="n">
        <f aca="false">+Debt!T50</f>
        <v>4381.72248574632</v>
      </c>
      <c r="X10" s="379" t="n">
        <f aca="false">+Debt!U50</f>
        <v>0</v>
      </c>
      <c r="Y10" s="379" t="n">
        <f aca="false">+Debt!V50</f>
        <v>0</v>
      </c>
      <c r="Z10" s="379" t="n">
        <f aca="false">+Debt!W50</f>
        <v>0</v>
      </c>
      <c r="AA10" s="379" t="n">
        <f aca="false">+Debt!X50</f>
        <v>0</v>
      </c>
      <c r="AB10" s="379" t="n">
        <f aca="false">+Debt!Y50</f>
        <v>0</v>
      </c>
      <c r="AC10" s="379" t="n">
        <f aca="false">+Debt!Z50</f>
        <v>0</v>
      </c>
      <c r="AD10" s="379" t="n">
        <f aca="false">+Debt!AA50</f>
        <v>0</v>
      </c>
      <c r="AE10" s="379" t="n">
        <f aca="false">+Debt!AB50</f>
        <v>0</v>
      </c>
      <c r="AF10" s="379" t="n">
        <f aca="false">+Debt!AC50</f>
        <v>0</v>
      </c>
      <c r="AG10" s="379" t="n">
        <f aca="false">+Debt!AD50</f>
        <v>0</v>
      </c>
      <c r="AH10" s="379" t="n">
        <f aca="false">+Debt!AE50</f>
        <v>0</v>
      </c>
      <c r="AI10" s="379" t="n">
        <f aca="false">+Debt!AF50</f>
        <v>0</v>
      </c>
      <c r="AJ10" s="379" t="n">
        <f aca="false">+Debt!AG50</f>
        <v>0</v>
      </c>
    </row>
    <row r="11" customFormat="false" ht="12.75" hidden="false" customHeight="false" outlineLevel="0" collapsed="false">
      <c r="D11" s="375" t="s">
        <v>297</v>
      </c>
      <c r="F11" s="380" t="n">
        <v>0</v>
      </c>
      <c r="G11" s="381" t="n">
        <f aca="false">+F11</f>
        <v>0</v>
      </c>
      <c r="H11" s="381" t="n">
        <f aca="false">+G11</f>
        <v>0</v>
      </c>
      <c r="I11" s="381" t="n">
        <f aca="false">+H11</f>
        <v>0</v>
      </c>
      <c r="J11" s="381" t="n">
        <f aca="false">+I11</f>
        <v>0</v>
      </c>
      <c r="K11" s="381" t="n">
        <f aca="false">+J11</f>
        <v>0</v>
      </c>
      <c r="L11" s="381" t="n">
        <f aca="false">+K11</f>
        <v>0</v>
      </c>
      <c r="M11" s="381" t="n">
        <f aca="false">+L11</f>
        <v>0</v>
      </c>
      <c r="N11" s="381" t="n">
        <f aca="false">+M11</f>
        <v>0</v>
      </c>
      <c r="O11" s="381" t="n">
        <f aca="false">+N11</f>
        <v>0</v>
      </c>
      <c r="P11" s="381" t="n">
        <f aca="false">+O11</f>
        <v>0</v>
      </c>
      <c r="Q11" s="381" t="n">
        <f aca="false">+P11</f>
        <v>0</v>
      </c>
      <c r="R11" s="381" t="n">
        <f aca="false">+Q11</f>
        <v>0</v>
      </c>
      <c r="S11" s="381" t="n">
        <f aca="false">+R11</f>
        <v>0</v>
      </c>
      <c r="T11" s="381" t="n">
        <f aca="false">+S11</f>
        <v>0</v>
      </c>
      <c r="U11" s="381" t="n">
        <f aca="false">+T11</f>
        <v>0</v>
      </c>
      <c r="V11" s="381" t="n">
        <f aca="false">+U11</f>
        <v>0</v>
      </c>
      <c r="W11" s="381" t="n">
        <f aca="false">+V11</f>
        <v>0</v>
      </c>
      <c r="X11" s="381" t="n">
        <f aca="false">+W11</f>
        <v>0</v>
      </c>
      <c r="Y11" s="381" t="n">
        <f aca="false">+X11</f>
        <v>0</v>
      </c>
      <c r="Z11" s="381" t="n">
        <f aca="false">+Y11</f>
        <v>0</v>
      </c>
      <c r="AA11" s="381" t="n">
        <f aca="false">+Z11</f>
        <v>0</v>
      </c>
      <c r="AB11" s="381" t="n">
        <f aca="false">+AA11</f>
        <v>0</v>
      </c>
      <c r="AC11" s="381" t="n">
        <f aca="false">+AB11</f>
        <v>0</v>
      </c>
      <c r="AD11" s="381" t="n">
        <f aca="false">+AC11</f>
        <v>0</v>
      </c>
      <c r="AE11" s="381" t="n">
        <f aca="false">+AD11</f>
        <v>0</v>
      </c>
      <c r="AF11" s="381" t="n">
        <f aca="false">+AE11</f>
        <v>0</v>
      </c>
      <c r="AG11" s="381" t="n">
        <f aca="false">+AF11</f>
        <v>0</v>
      </c>
      <c r="AH11" s="381" t="n">
        <f aca="false">+AG11</f>
        <v>0</v>
      </c>
      <c r="AI11" s="381" t="n">
        <f aca="false">+AH11</f>
        <v>0</v>
      </c>
      <c r="AJ11" s="381" t="n">
        <f aca="false">+AI11</f>
        <v>0</v>
      </c>
    </row>
    <row r="12" customFormat="false" ht="12.75" hidden="false" customHeight="false" outlineLevel="0" collapsed="false">
      <c r="D12" s="375" t="s">
        <v>298</v>
      </c>
      <c r="F12" s="376" t="n">
        <f aca="false">+F7+F9-F10-F11</f>
        <v>2993.0297425653</v>
      </c>
      <c r="G12" s="376" t="n">
        <f aca="false">+G7+G9-G10-G11</f>
        <v>2280.40762536724</v>
      </c>
      <c r="H12" s="376" t="n">
        <f aca="false">+H7+H9-H10-H11</f>
        <v>2280.40762536724</v>
      </c>
      <c r="I12" s="376" t="n">
        <f aca="false">+I7+I9-I10-I11</f>
        <v>2280.40762536724</v>
      </c>
      <c r="J12" s="376" t="n">
        <f aca="false">+J7+J9-J10-J11</f>
        <v>2280.40762536724</v>
      </c>
      <c r="K12" s="376" t="n">
        <f aca="false">+K7+K9-K10-K11</f>
        <v>2280.40762536724</v>
      </c>
      <c r="L12" s="376" t="n">
        <f aca="false">+L7+L9-L10-L11</f>
        <v>2280.40762536724</v>
      </c>
      <c r="M12" s="376" t="n">
        <f aca="false">+M7+M9-M10-M11</f>
        <v>2280.40762536724</v>
      </c>
      <c r="N12" s="376" t="n">
        <f aca="false">+N7+N9-N10-N11</f>
        <v>2280.40762536724</v>
      </c>
      <c r="O12" s="376" t="n">
        <f aca="false">+O7+O9-O10-O11</f>
        <v>2280.40762536724</v>
      </c>
      <c r="P12" s="376" t="n">
        <f aca="false">+P7+P9-P10-P11</f>
        <v>2280.40762536724</v>
      </c>
      <c r="Q12" s="376" t="n">
        <f aca="false">+Q7+Q9-Q10-Q11</f>
        <v>2280.40762536724</v>
      </c>
      <c r="R12" s="376" t="n">
        <f aca="false">+R7+R9-R10-R11</f>
        <v>2280.40762536724</v>
      </c>
      <c r="S12" s="376" t="n">
        <f aca="false">+S7+S9-S10-S11</f>
        <v>2280.40762536724</v>
      </c>
      <c r="T12" s="376" t="n">
        <f aca="false">+T7+T9-T10-T11</f>
        <v>2280.40762536724</v>
      </c>
      <c r="U12" s="376" t="n">
        <f aca="false">+U7+U9-U10-U11</f>
        <v>2280.40762536724</v>
      </c>
      <c r="V12" s="376" t="n">
        <f aca="false">+V7+V9-V10-V11</f>
        <v>2280.40762536724</v>
      </c>
      <c r="W12" s="376" t="n">
        <f aca="false">+W7+W9-W10-W11</f>
        <v>6088.48511144678</v>
      </c>
      <c r="X12" s="376" t="n">
        <f aca="false">+X7+X9-X10-X11</f>
        <v>7497.36191382286</v>
      </c>
      <c r="Y12" s="376" t="n">
        <f aca="false">+Y7+Y9-Y10-Y11</f>
        <v>6528.35708304524</v>
      </c>
      <c r="Z12" s="376" t="n">
        <f aca="false">+Z7+Z9-Z10-Z11</f>
        <v>6510.85208304524</v>
      </c>
      <c r="AA12" s="376" t="n">
        <f aca="false">+AA7+AA9-AA10-AA11</f>
        <v>6510.85208304524</v>
      </c>
      <c r="AB12" s="376" t="n">
        <f aca="false">+AB7+AB9-AB10-AB11</f>
        <v>6510.85208304524</v>
      </c>
      <c r="AC12" s="376" t="n">
        <f aca="false">+AC7+AC9-AC10-AC11</f>
        <v>6510.85208304524</v>
      </c>
      <c r="AD12" s="376" t="n">
        <f aca="false">+AD7+AD9-AD10-AD11</f>
        <v>6510.85208304524</v>
      </c>
      <c r="AE12" s="376" t="n">
        <f aca="false">+AE7+AE9-AE10-AE11</f>
        <v>-2661.55130427948</v>
      </c>
      <c r="AF12" s="376" t="n">
        <f aca="false">+AF7+AF9-AF10-AF11</f>
        <v>-2661.55130427948</v>
      </c>
      <c r="AG12" s="376" t="n">
        <f aca="false">+AG7+AG9-AG10-AG11</f>
        <v>-2661.55130427948</v>
      </c>
      <c r="AH12" s="376" t="n">
        <f aca="false">+AH7+AH9-AH10-AH11</f>
        <v>-2661.55130427948</v>
      </c>
      <c r="AI12" s="376" t="n">
        <f aca="false">+AI7+AI9-AI10-AI11</f>
        <v>-2661.55130427948</v>
      </c>
      <c r="AJ12" s="376" t="n">
        <f aca="false">+AJ7+AJ9-AJ10-AJ11</f>
        <v>-2661.55130427948</v>
      </c>
    </row>
    <row r="13" customFormat="false" ht="12.75" hidden="false" customHeight="false" outlineLevel="0" collapsed="false">
      <c r="D13" s="375"/>
    </row>
    <row r="14" customFormat="false" ht="12.75" hidden="false" customHeight="false" outlineLevel="0" collapsed="false">
      <c r="D14" s="375"/>
    </row>
    <row r="15" customFormat="false" ht="13.5" hidden="false" customHeight="false" outlineLevel="0" collapsed="false">
      <c r="D15" s="382"/>
      <c r="E15" s="374" t="n">
        <v>37104</v>
      </c>
      <c r="F15" s="374" t="n">
        <f aca="false">+F3</f>
        <v>37256</v>
      </c>
      <c r="G15" s="374" t="n">
        <f aca="false">+G3</f>
        <v>37621</v>
      </c>
      <c r="H15" s="374" t="n">
        <f aca="false">+H3</f>
        <v>37986</v>
      </c>
      <c r="I15" s="374" t="n">
        <f aca="false">+I3</f>
        <v>38352</v>
      </c>
      <c r="J15" s="374" t="n">
        <f aca="false">+J3</f>
        <v>38717</v>
      </c>
      <c r="K15" s="374" t="n">
        <f aca="false">+K3</f>
        <v>39082</v>
      </c>
      <c r="L15" s="374" t="n">
        <f aca="false">+L3</f>
        <v>39447</v>
      </c>
      <c r="M15" s="374" t="n">
        <f aca="false">+M3</f>
        <v>39813</v>
      </c>
      <c r="N15" s="374" t="n">
        <f aca="false">+N3</f>
        <v>40178</v>
      </c>
      <c r="O15" s="374" t="n">
        <f aca="false">+O3</f>
        <v>40543</v>
      </c>
      <c r="P15" s="374" t="n">
        <f aca="false">+P3</f>
        <v>40908</v>
      </c>
      <c r="Q15" s="374" t="n">
        <f aca="false">+Q3</f>
        <v>41274</v>
      </c>
      <c r="R15" s="374" t="n">
        <f aca="false">+R3</f>
        <v>41639</v>
      </c>
      <c r="S15" s="374" t="n">
        <f aca="false">+S3</f>
        <v>42004</v>
      </c>
      <c r="T15" s="374" t="n">
        <f aca="false">+T3</f>
        <v>42369</v>
      </c>
      <c r="U15" s="374" t="n">
        <f aca="false">+U3</f>
        <v>42735</v>
      </c>
      <c r="V15" s="374" t="n">
        <f aca="false">+V3</f>
        <v>43100</v>
      </c>
      <c r="W15" s="374" t="n">
        <f aca="false">+W3</f>
        <v>43465</v>
      </c>
      <c r="X15" s="383" t="n">
        <v>43466</v>
      </c>
      <c r="Z15" s="384" t="s">
        <v>299</v>
      </c>
      <c r="AA15" s="385"/>
      <c r="AB15" s="386"/>
      <c r="AC15" s="386"/>
      <c r="AD15" s="386"/>
      <c r="AE15" s="386"/>
      <c r="AF15" s="386"/>
      <c r="AG15" s="386"/>
      <c r="AH15" s="386"/>
      <c r="AI15" s="386"/>
      <c r="AJ15" s="386"/>
    </row>
    <row r="16" customFormat="false" ht="12.75" hidden="false" customHeight="false" outlineLevel="0" collapsed="false">
      <c r="D16" s="375"/>
      <c r="Z16" s="387"/>
      <c r="AA16" s="388"/>
    </row>
    <row r="17" customFormat="false" ht="12.75" hidden="false" customHeight="false" outlineLevel="0" collapsed="false">
      <c r="D17" s="375" t="s">
        <v>300</v>
      </c>
      <c r="E17" s="389" t="n">
        <v>0.15</v>
      </c>
      <c r="Z17" s="387" t="s">
        <v>301</v>
      </c>
      <c r="AA17" s="390" t="n">
        <f aca="false">+Assumptions!D43</f>
        <v>129629.905338166</v>
      </c>
    </row>
    <row r="18" customFormat="false" ht="12.75" hidden="false" customHeight="false" outlineLevel="0" collapsed="false">
      <c r="D18" s="375" t="s">
        <v>302</v>
      </c>
      <c r="E18" s="376" t="n">
        <f aca="false">+-Assumptions!D11</f>
        <v>-50555.6630818846</v>
      </c>
      <c r="F18" s="376" t="n">
        <f aca="false">+E22</f>
        <v>-50555.6630818846</v>
      </c>
      <c r="G18" s="376" t="n">
        <f aca="false">+F22</f>
        <v>-50555.6630818846</v>
      </c>
      <c r="H18" s="376" t="n">
        <f aca="false">+G22</f>
        <v>-50555.6630818846</v>
      </c>
      <c r="I18" s="376" t="n">
        <f aca="false">+H22</f>
        <v>-50555.6630818846</v>
      </c>
      <c r="J18" s="376" t="n">
        <f aca="false">+I22</f>
        <v>-50555.6630818846</v>
      </c>
      <c r="K18" s="376" t="n">
        <f aca="false">+J22</f>
        <v>-50555.6630818846</v>
      </c>
      <c r="L18" s="376" t="n">
        <f aca="false">+K22</f>
        <v>-50555.6630818846</v>
      </c>
      <c r="M18" s="376" t="n">
        <f aca="false">+L22</f>
        <v>-50555.6630818846</v>
      </c>
      <c r="N18" s="376" t="n">
        <f aca="false">+M22</f>
        <v>-50555.6630818846</v>
      </c>
      <c r="O18" s="376" t="n">
        <f aca="false">+N22</f>
        <v>-50555.6630818846</v>
      </c>
      <c r="P18" s="376" t="n">
        <f aca="false">+O22</f>
        <v>-50555.6630818846</v>
      </c>
      <c r="Q18" s="376" t="n">
        <f aca="false">+P22</f>
        <v>-50555.6630818846</v>
      </c>
      <c r="R18" s="376" t="n">
        <f aca="false">+Q22</f>
        <v>-50555.6630818846</v>
      </c>
      <c r="S18" s="376" t="n">
        <f aca="false">+R22</f>
        <v>-50555.6630818846</v>
      </c>
      <c r="T18" s="376" t="n">
        <f aca="false">+S22</f>
        <v>-50555.6630818846</v>
      </c>
      <c r="U18" s="376" t="n">
        <f aca="false">+T22</f>
        <v>-50555.6630818846</v>
      </c>
      <c r="V18" s="376" t="n">
        <f aca="false">+U22</f>
        <v>-50555.6630818846</v>
      </c>
      <c r="W18" s="376" t="n">
        <f aca="false">+V22</f>
        <v>-50555.6630818846</v>
      </c>
      <c r="Z18" s="387" t="s">
        <v>303</v>
      </c>
      <c r="AA18" s="390" t="n">
        <f aca="false">+Assumptions!D11</f>
        <v>50555.6630818846</v>
      </c>
    </row>
    <row r="19" customFormat="false" ht="12.75" hidden="false" customHeight="false" outlineLevel="0" collapsed="false">
      <c r="D19" s="375" t="s">
        <v>304</v>
      </c>
      <c r="F19" s="379" t="n">
        <f aca="false">+-E18*$E$17</f>
        <v>7583.34946228268</v>
      </c>
      <c r="G19" s="379" t="n">
        <f aca="false">+-G18*$E$17</f>
        <v>7583.34946228268</v>
      </c>
      <c r="H19" s="379" t="n">
        <f aca="false">+-H18*$E$17</f>
        <v>7583.34946228268</v>
      </c>
      <c r="I19" s="379" t="n">
        <f aca="false">+-I18*$E$17</f>
        <v>7583.34946228268</v>
      </c>
      <c r="J19" s="379" t="n">
        <f aca="false">+-J18*$E$17</f>
        <v>7583.34946228268</v>
      </c>
      <c r="K19" s="379" t="n">
        <f aca="false">+-K18*$E$17</f>
        <v>7583.34946228268</v>
      </c>
      <c r="L19" s="379" t="n">
        <f aca="false">+-L18*$E$17</f>
        <v>7583.34946228268</v>
      </c>
      <c r="M19" s="379" t="n">
        <f aca="false">+-M18*$E$17</f>
        <v>7583.34946228268</v>
      </c>
      <c r="N19" s="379" t="n">
        <f aca="false">+-N18*$E$17</f>
        <v>7583.34946228268</v>
      </c>
      <c r="O19" s="379" t="n">
        <f aca="false">+-O18*$E$17</f>
        <v>7583.34946228268</v>
      </c>
      <c r="P19" s="379" t="n">
        <f aca="false">+-P18*$E$17</f>
        <v>7583.34946228268</v>
      </c>
      <c r="Q19" s="379" t="n">
        <f aca="false">+-Q18*$E$17</f>
        <v>7583.34946228268</v>
      </c>
      <c r="R19" s="379" t="n">
        <f aca="false">+-R18*$E$17</f>
        <v>7583.34946228268</v>
      </c>
      <c r="S19" s="379" t="n">
        <f aca="false">+-S18*$E$17</f>
        <v>7583.34946228268</v>
      </c>
      <c r="T19" s="379" t="n">
        <f aca="false">+-T18*$E$17</f>
        <v>7583.34946228268</v>
      </c>
      <c r="U19" s="379" t="n">
        <f aca="false">+-U18*$E$17</f>
        <v>7583.34946228268</v>
      </c>
      <c r="V19" s="379" t="n">
        <f aca="false">+-V18*$E$17</f>
        <v>7583.34946228268</v>
      </c>
      <c r="W19" s="379" t="n">
        <f aca="false">+-W18*$E$17</f>
        <v>7583.34946228268</v>
      </c>
      <c r="Z19" s="387" t="s">
        <v>305</v>
      </c>
      <c r="AA19" s="390" t="n">
        <f aca="false">+-W22</f>
        <v>50555.6630818846</v>
      </c>
    </row>
    <row r="20" customFormat="false" ht="12.75" hidden="false" customHeight="false" outlineLevel="0" collapsed="false">
      <c r="D20" s="375" t="s">
        <v>306</v>
      </c>
      <c r="F20" s="376" t="n">
        <f aca="false">+F12</f>
        <v>2993.0297425653</v>
      </c>
      <c r="G20" s="376" t="n">
        <f aca="false">+G12</f>
        <v>2280.40762536724</v>
      </c>
      <c r="H20" s="376" t="n">
        <f aca="false">+H12</f>
        <v>2280.40762536724</v>
      </c>
      <c r="I20" s="376" t="n">
        <f aca="false">+I12</f>
        <v>2280.40762536724</v>
      </c>
      <c r="J20" s="376" t="n">
        <f aca="false">+J12</f>
        <v>2280.40762536724</v>
      </c>
      <c r="K20" s="376" t="n">
        <f aca="false">+K12</f>
        <v>2280.40762536724</v>
      </c>
      <c r="L20" s="376" t="n">
        <f aca="false">+L12</f>
        <v>2280.40762536724</v>
      </c>
      <c r="M20" s="376" t="n">
        <f aca="false">+M12</f>
        <v>2280.40762536724</v>
      </c>
      <c r="N20" s="376" t="n">
        <f aca="false">+N12</f>
        <v>2280.40762536724</v>
      </c>
      <c r="O20" s="376" t="n">
        <f aca="false">+O12</f>
        <v>2280.40762536724</v>
      </c>
      <c r="P20" s="376" t="n">
        <f aca="false">+P12</f>
        <v>2280.40762536724</v>
      </c>
      <c r="Q20" s="376" t="n">
        <f aca="false">+Q12</f>
        <v>2280.40762536724</v>
      </c>
      <c r="R20" s="376" t="n">
        <f aca="false">+R12</f>
        <v>2280.40762536724</v>
      </c>
      <c r="S20" s="376" t="n">
        <f aca="false">+S12</f>
        <v>2280.40762536724</v>
      </c>
      <c r="T20" s="376" t="n">
        <f aca="false">+T12</f>
        <v>2280.40762536724</v>
      </c>
      <c r="U20" s="376" t="n">
        <f aca="false">+U12</f>
        <v>2280.40762536724</v>
      </c>
      <c r="V20" s="376" t="n">
        <f aca="false">+V12</f>
        <v>2280.40762536724</v>
      </c>
      <c r="W20" s="376" t="n">
        <f aca="false">+W12</f>
        <v>6088.48511144678</v>
      </c>
      <c r="Z20" s="387" t="s">
        <v>307</v>
      </c>
      <c r="AA20" s="388"/>
    </row>
    <row r="21" customFormat="false" ht="12.75" hidden="false" customHeight="false" outlineLevel="0" collapsed="false">
      <c r="D21" s="375" t="s">
        <v>308</v>
      </c>
      <c r="F21" s="391" t="n">
        <f aca="false">+IF(F20&gt;F19,F20-F19,0)</f>
        <v>0</v>
      </c>
      <c r="G21" s="391" t="n">
        <f aca="false">+IF(G20&gt;G19,G20-G19,0)</f>
        <v>0</v>
      </c>
      <c r="H21" s="391" t="n">
        <f aca="false">+IF(H20&gt;H19,H20-H19,0)</f>
        <v>0</v>
      </c>
      <c r="I21" s="391" t="n">
        <f aca="false">+IF(I20&gt;I19,I20-I19,0)</f>
        <v>0</v>
      </c>
      <c r="J21" s="391" t="n">
        <f aca="false">+IF(J20&gt;J19,J20-J19,0)</f>
        <v>0</v>
      </c>
      <c r="K21" s="391" t="n">
        <f aca="false">+IF(K20&gt;K19,K20-K19,0)</f>
        <v>0</v>
      </c>
      <c r="L21" s="391" t="n">
        <f aca="false">+IF(L20&gt;L19,L20-L19,0)</f>
        <v>0</v>
      </c>
      <c r="M21" s="391" t="n">
        <f aca="false">+IF(M20&gt;M19,M20-M19,0)</f>
        <v>0</v>
      </c>
      <c r="N21" s="391" t="n">
        <f aca="false">+IF(N20&gt;N19,N20-N19,0)</f>
        <v>0</v>
      </c>
      <c r="O21" s="391" t="n">
        <f aca="false">+IF(O20&gt;O19,O20-O19,0)</f>
        <v>0</v>
      </c>
      <c r="P21" s="391" t="n">
        <f aca="false">+IF(P20&gt;P19,P20-P19,0)</f>
        <v>0</v>
      </c>
      <c r="Q21" s="391" t="n">
        <f aca="false">+IF(Q20&gt;Q19,Q20-Q19,0)</f>
        <v>0</v>
      </c>
      <c r="R21" s="391" t="n">
        <f aca="false">+IF(R20&gt;R19,R20-R19,0)</f>
        <v>0</v>
      </c>
      <c r="S21" s="391" t="n">
        <f aca="false">+IF(S20&gt;S19,S20-S19,0)</f>
        <v>0</v>
      </c>
      <c r="T21" s="391" t="n">
        <f aca="false">+IF(T20&gt;T19,T20-T19,0)</f>
        <v>0</v>
      </c>
      <c r="U21" s="391" t="n">
        <f aca="false">+IF(U20&gt;U19,U20-U19,0)</f>
        <v>0</v>
      </c>
      <c r="V21" s="391" t="n">
        <f aca="false">+IF(V20&gt;V19,V20-V19,0)</f>
        <v>0</v>
      </c>
      <c r="W21" s="391" t="n">
        <f aca="false">+IF(W20&gt;W19,W20-W19,0)</f>
        <v>0</v>
      </c>
      <c r="Z21" s="392" t="s">
        <v>309</v>
      </c>
      <c r="AA21" s="393" t="n">
        <f aca="false">+AA19/AA17</f>
        <v>0.39</v>
      </c>
    </row>
    <row r="22" customFormat="false" ht="12.75" hidden="false" customHeight="false" outlineLevel="0" collapsed="false">
      <c r="D22" s="375" t="s">
        <v>310</v>
      </c>
      <c r="E22" s="376" t="n">
        <f aca="false">+E18+E21</f>
        <v>-50555.6630818846</v>
      </c>
      <c r="F22" s="376" t="n">
        <f aca="false">+F18+F21</f>
        <v>-50555.6630818846</v>
      </c>
      <c r="G22" s="376" t="n">
        <f aca="false">+G18+G21</f>
        <v>-50555.6630818846</v>
      </c>
      <c r="H22" s="376" t="n">
        <f aca="false">+H18+H21</f>
        <v>-50555.6630818846</v>
      </c>
      <c r="I22" s="376" t="n">
        <f aca="false">+I18+I21</f>
        <v>-50555.6630818846</v>
      </c>
      <c r="J22" s="376" t="n">
        <f aca="false">+J18+J21</f>
        <v>-50555.6630818846</v>
      </c>
      <c r="K22" s="376" t="n">
        <f aca="false">+K18+K21</f>
        <v>-50555.6630818846</v>
      </c>
      <c r="L22" s="376" t="n">
        <f aca="false">+L18+L21</f>
        <v>-50555.6630818846</v>
      </c>
      <c r="M22" s="376" t="n">
        <f aca="false">+M18+M21</f>
        <v>-50555.6630818846</v>
      </c>
      <c r="N22" s="376" t="n">
        <f aca="false">+N18+N21</f>
        <v>-50555.6630818846</v>
      </c>
      <c r="O22" s="376" t="n">
        <f aca="false">+O18+O21</f>
        <v>-50555.6630818846</v>
      </c>
      <c r="P22" s="376" t="n">
        <f aca="false">+P18+P21</f>
        <v>-50555.6630818846</v>
      </c>
      <c r="Q22" s="376" t="n">
        <f aca="false">+Q18+Q21</f>
        <v>-50555.6630818846</v>
      </c>
      <c r="R22" s="376" t="n">
        <f aca="false">+R18+R21</f>
        <v>-50555.6630818846</v>
      </c>
      <c r="S22" s="376" t="n">
        <f aca="false">+S18+S21</f>
        <v>-50555.6630818846</v>
      </c>
      <c r="T22" s="376" t="n">
        <f aca="false">+T18+T21</f>
        <v>-50555.6630818846</v>
      </c>
      <c r="U22" s="376" t="n">
        <f aca="false">+U18+U21</f>
        <v>-50555.6630818846</v>
      </c>
      <c r="V22" s="376" t="n">
        <f aca="false">+V18+V21</f>
        <v>-50555.6630818846</v>
      </c>
      <c r="W22" s="376" t="n">
        <f aca="false">+W18+W21</f>
        <v>-50555.6630818846</v>
      </c>
      <c r="Z22" s="170"/>
      <c r="AA22" s="394"/>
    </row>
    <row r="23" customFormat="false" ht="12.75" hidden="false" customHeight="false" outlineLevel="0" collapsed="false">
      <c r="Z23" s="170"/>
      <c r="AA23" s="379"/>
    </row>
    <row r="24" customFormat="false" ht="12.75" hidden="false" customHeight="false" outlineLevel="0" collapsed="false">
      <c r="Z24" s="170"/>
      <c r="AA24" s="379"/>
    </row>
    <row r="25" customFormat="false" ht="12.75" hidden="false" customHeight="false" outlineLevel="0" collapsed="false">
      <c r="Z25" s="170"/>
      <c r="AA25" s="170"/>
    </row>
    <row r="26" customFormat="false" ht="12.75" hidden="false" customHeight="false" outlineLevel="0" collapsed="false">
      <c r="A26" s="373" t="s">
        <v>311</v>
      </c>
      <c r="D26" s="375" t="s">
        <v>312</v>
      </c>
      <c r="E26" s="376" t="n">
        <f aca="false">+-Assumptions!D11</f>
        <v>-50555.6630818846</v>
      </c>
      <c r="Z26" s="170"/>
      <c r="AA26" s="170"/>
    </row>
    <row r="27" customFormat="false" ht="12.75" hidden="false" customHeight="false" outlineLevel="0" collapsed="false">
      <c r="D27" s="375" t="s">
        <v>306</v>
      </c>
      <c r="E27" s="0" t="n">
        <v>0</v>
      </c>
      <c r="F27" s="376" t="n">
        <f aca="false">+F20</f>
        <v>2993.0297425653</v>
      </c>
      <c r="G27" s="376" t="n">
        <f aca="false">+G20</f>
        <v>2280.40762536724</v>
      </c>
      <c r="H27" s="376" t="n">
        <f aca="false">+H20</f>
        <v>2280.40762536724</v>
      </c>
      <c r="I27" s="376" t="n">
        <f aca="false">+I20</f>
        <v>2280.40762536724</v>
      </c>
      <c r="J27" s="376" t="n">
        <f aca="false">+J20</f>
        <v>2280.40762536724</v>
      </c>
      <c r="K27" s="376" t="n">
        <f aca="false">+K20</f>
        <v>2280.40762536724</v>
      </c>
      <c r="L27" s="376" t="n">
        <f aca="false">+L20</f>
        <v>2280.40762536724</v>
      </c>
      <c r="M27" s="376" t="n">
        <f aca="false">+M20</f>
        <v>2280.40762536724</v>
      </c>
      <c r="N27" s="376" t="n">
        <f aca="false">+N20</f>
        <v>2280.40762536724</v>
      </c>
      <c r="O27" s="376" t="n">
        <f aca="false">+O20</f>
        <v>2280.40762536724</v>
      </c>
      <c r="P27" s="376" t="n">
        <f aca="false">+P20</f>
        <v>2280.40762536724</v>
      </c>
      <c r="Q27" s="376" t="n">
        <f aca="false">+Q20</f>
        <v>2280.40762536724</v>
      </c>
      <c r="R27" s="376" t="n">
        <f aca="false">+R20</f>
        <v>2280.40762536724</v>
      </c>
      <c r="S27" s="376" t="n">
        <f aca="false">+S20</f>
        <v>2280.40762536724</v>
      </c>
      <c r="T27" s="376" t="n">
        <f aca="false">+T20</f>
        <v>2280.40762536724</v>
      </c>
      <c r="U27" s="376" t="n">
        <f aca="false">+U20</f>
        <v>2280.40762536724</v>
      </c>
      <c r="V27" s="376" t="n">
        <f aca="false">+V20</f>
        <v>2280.40762536724</v>
      </c>
      <c r="W27" s="376" t="n">
        <f aca="false">+W20</f>
        <v>6088.48511144678</v>
      </c>
      <c r="Z27" s="170"/>
      <c r="AA27" s="170"/>
    </row>
    <row r="28" customFormat="false" ht="12.75" hidden="false" customHeight="false" outlineLevel="0" collapsed="false">
      <c r="D28" s="375" t="s">
        <v>313</v>
      </c>
      <c r="E28" s="376" t="n">
        <f aca="false">+SUM(E26:E27)</f>
        <v>-50555.6630818846</v>
      </c>
      <c r="F28" s="379" t="n">
        <f aca="false">+SUM(F27)</f>
        <v>2993.0297425653</v>
      </c>
      <c r="G28" s="379" t="n">
        <f aca="false">+SUM(G27)</f>
        <v>2280.40762536724</v>
      </c>
      <c r="H28" s="379" t="n">
        <f aca="false">+SUM(H27)</f>
        <v>2280.40762536724</v>
      </c>
      <c r="I28" s="379" t="n">
        <f aca="false">+SUM(I27)</f>
        <v>2280.40762536724</v>
      </c>
      <c r="J28" s="379" t="n">
        <f aca="false">+SUM(J27)</f>
        <v>2280.40762536724</v>
      </c>
      <c r="K28" s="379" t="n">
        <f aca="false">+SUM(K27)</f>
        <v>2280.40762536724</v>
      </c>
      <c r="L28" s="379" t="n">
        <f aca="false">+SUM(L27)</f>
        <v>2280.40762536724</v>
      </c>
      <c r="M28" s="379" t="n">
        <f aca="false">+SUM(M27)</f>
        <v>2280.40762536724</v>
      </c>
      <c r="N28" s="379" t="n">
        <f aca="false">+SUM(N27)</f>
        <v>2280.40762536724</v>
      </c>
      <c r="O28" s="379" t="n">
        <f aca="false">+SUM(O27)</f>
        <v>2280.40762536724</v>
      </c>
      <c r="P28" s="379" t="n">
        <f aca="false">+SUM(P27)</f>
        <v>2280.40762536724</v>
      </c>
      <c r="Q28" s="379" t="n">
        <f aca="false">+SUM(Q27)</f>
        <v>2280.40762536724</v>
      </c>
      <c r="R28" s="379" t="n">
        <f aca="false">+SUM(R27)</f>
        <v>2280.40762536724</v>
      </c>
      <c r="S28" s="379" t="n">
        <f aca="false">+SUM(S27)</f>
        <v>2280.40762536724</v>
      </c>
      <c r="T28" s="379" t="n">
        <f aca="false">+SUM(T27)</f>
        <v>2280.40762536724</v>
      </c>
      <c r="U28" s="379" t="n">
        <f aca="false">+SUM(U27)</f>
        <v>2280.40762536724</v>
      </c>
      <c r="V28" s="379" t="n">
        <f aca="false">+SUM(V27)</f>
        <v>2280.40762536724</v>
      </c>
      <c r="W28" s="379" t="n">
        <f aca="false">+SUM(W27)</f>
        <v>6088.48511144678</v>
      </c>
      <c r="X28" s="379" t="n">
        <f aca="false">+AA17*Assumptions!J21</f>
        <v>25925.9810676331</v>
      </c>
      <c r="Z28" s="170"/>
      <c r="AA28" s="170"/>
    </row>
    <row r="30" customFormat="false" ht="12.75" hidden="false" customHeight="false" outlineLevel="0" collapsed="false">
      <c r="D30" s="375" t="s">
        <v>17</v>
      </c>
      <c r="E30" s="395" t="n">
        <f aca="false">+XIRR(E28:X28,E15:X15)</f>
        <v>0.0296668283157563</v>
      </c>
    </row>
    <row r="32" customFormat="false" ht="12.75" hidden="false" customHeight="false" outlineLevel="0" collapsed="false">
      <c r="A32" s="373" t="s">
        <v>98</v>
      </c>
      <c r="D32" s="375" t="s">
        <v>312</v>
      </c>
      <c r="E32" s="376" t="n">
        <f aca="false">+E26</f>
        <v>-50555.6630818846</v>
      </c>
    </row>
    <row r="33" customFormat="false" ht="12.75" hidden="false" customHeight="false" outlineLevel="0" collapsed="false">
      <c r="D33" s="375" t="s">
        <v>306</v>
      </c>
      <c r="E33" s="0" t="n">
        <v>0</v>
      </c>
      <c r="F33" s="376" t="n">
        <f aca="false">+F28</f>
        <v>2993.0297425653</v>
      </c>
      <c r="G33" s="376" t="n">
        <f aca="false">+G28</f>
        <v>2280.40762536724</v>
      </c>
      <c r="H33" s="376" t="n">
        <f aca="false">+H28</f>
        <v>2280.40762536724</v>
      </c>
      <c r="I33" s="376" t="n">
        <f aca="false">+I28</f>
        <v>2280.40762536724</v>
      </c>
      <c r="J33" s="376" t="n">
        <f aca="false">+J28</f>
        <v>2280.40762536724</v>
      </c>
      <c r="K33" s="376" t="n">
        <f aca="false">+K28</f>
        <v>2280.40762536724</v>
      </c>
      <c r="L33" s="376" t="n">
        <f aca="false">+L28</f>
        <v>2280.40762536724</v>
      </c>
      <c r="M33" s="376" t="n">
        <f aca="false">+M28</f>
        <v>2280.40762536724</v>
      </c>
      <c r="N33" s="376" t="n">
        <f aca="false">+N28</f>
        <v>2280.40762536724</v>
      </c>
      <c r="O33" s="376" t="n">
        <f aca="false">+O28</f>
        <v>2280.40762536724</v>
      </c>
      <c r="P33" s="376" t="n">
        <f aca="false">+P28</f>
        <v>2280.40762536724</v>
      </c>
      <c r="Q33" s="376" t="n">
        <f aca="false">+Q28</f>
        <v>2280.40762536724</v>
      </c>
      <c r="R33" s="376" t="n">
        <f aca="false">+R28</f>
        <v>2280.40762536724</v>
      </c>
      <c r="S33" s="376" t="n">
        <f aca="false">+S28</f>
        <v>2280.40762536724</v>
      </c>
      <c r="T33" s="376" t="n">
        <f aca="false">+T28</f>
        <v>2280.40762536724</v>
      </c>
      <c r="U33" s="376" t="n">
        <f aca="false">+U28</f>
        <v>2280.40762536724</v>
      </c>
      <c r="V33" s="376" t="n">
        <f aca="false">+V28</f>
        <v>2280.40762536724</v>
      </c>
      <c r="W33" s="376" t="n">
        <f aca="false">+W28</f>
        <v>6088.48511144678</v>
      </c>
    </row>
    <row r="34" customFormat="false" ht="12.75" hidden="false" customHeight="false" outlineLevel="0" collapsed="false">
      <c r="D34" s="375" t="s">
        <v>313</v>
      </c>
      <c r="E34" s="376" t="n">
        <f aca="false">+SUM(E32:E33)</f>
        <v>-50555.6630818846</v>
      </c>
      <c r="F34" s="379" t="n">
        <f aca="false">+SUM(F33)</f>
        <v>2993.0297425653</v>
      </c>
      <c r="G34" s="379" t="n">
        <f aca="false">+SUM(G33)</f>
        <v>2280.40762536724</v>
      </c>
      <c r="H34" s="379" t="n">
        <f aca="false">+SUM(H33)</f>
        <v>2280.40762536724</v>
      </c>
      <c r="I34" s="379" t="n">
        <f aca="false">+SUM(I33)</f>
        <v>2280.40762536724</v>
      </c>
      <c r="J34" s="379" t="n">
        <f aca="false">+SUM(J33)</f>
        <v>2280.40762536724</v>
      </c>
      <c r="K34" s="379" t="n">
        <f aca="false">+SUM(K33)</f>
        <v>2280.40762536724</v>
      </c>
      <c r="L34" s="379" t="n">
        <f aca="false">+SUM(L33)</f>
        <v>2280.40762536724</v>
      </c>
      <c r="M34" s="379" t="n">
        <f aca="false">+SUM(M33)</f>
        <v>2280.40762536724</v>
      </c>
      <c r="N34" s="379" t="n">
        <f aca="false">+SUM(N33)</f>
        <v>2280.40762536724</v>
      </c>
      <c r="O34" s="379" t="n">
        <f aca="false">+SUM(O33)</f>
        <v>2280.40762536724</v>
      </c>
      <c r="P34" s="379" t="n">
        <f aca="false">+SUM(P33)</f>
        <v>2280.40762536724</v>
      </c>
      <c r="Q34" s="379" t="n">
        <f aca="false">+SUM(Q33)</f>
        <v>2280.40762536724</v>
      </c>
      <c r="R34" s="379" t="n">
        <f aca="false">+SUM(R33)</f>
        <v>2280.40762536724</v>
      </c>
      <c r="S34" s="379" t="n">
        <f aca="false">+SUM(S33)</f>
        <v>2280.40762536724</v>
      </c>
      <c r="T34" s="379" t="n">
        <f aca="false">+SUM(T33)</f>
        <v>2280.40762536724</v>
      </c>
      <c r="U34" s="379" t="n">
        <f aca="false">+SUM(U33)</f>
        <v>2280.40762536724</v>
      </c>
      <c r="V34" s="379" t="n">
        <f aca="false">+SUM(V33)</f>
        <v>2280.40762536724</v>
      </c>
      <c r="W34" s="379" t="n">
        <f aca="false">+SUM(W33)</f>
        <v>6088.48511144678</v>
      </c>
      <c r="X34" s="379" t="n">
        <f aca="false">+X5*Assumptions!$J$22</f>
        <v>53280.2952786026</v>
      </c>
    </row>
    <row r="36" customFormat="false" ht="12.75" hidden="false" customHeight="false" outlineLevel="0" collapsed="false">
      <c r="D36" s="375" t="s">
        <v>17</v>
      </c>
      <c r="E36" s="395" t="n">
        <f aca="false">+XIRR(E34:X34,E15:X15)</f>
        <v>0.0533173469567251</v>
      </c>
    </row>
    <row r="38" customFormat="false" ht="12.75" hidden="false" customHeight="false" outlineLevel="0" collapsed="false">
      <c r="A38" s="373" t="s">
        <v>314</v>
      </c>
      <c r="D38" s="375" t="s">
        <v>312</v>
      </c>
      <c r="E38" s="376" t="n">
        <f aca="false">+E26</f>
        <v>-50555.6630818846</v>
      </c>
    </row>
    <row r="39" customFormat="false" ht="12.75" hidden="false" customHeight="false" outlineLevel="0" collapsed="false">
      <c r="D39" s="375" t="s">
        <v>306</v>
      </c>
      <c r="E39" s="0" t="n">
        <v>0</v>
      </c>
      <c r="F39" s="376" t="n">
        <f aca="false">+F27</f>
        <v>2993.0297425653</v>
      </c>
      <c r="G39" s="376" t="n">
        <f aca="false">+G27</f>
        <v>2280.40762536724</v>
      </c>
      <c r="H39" s="376" t="n">
        <f aca="false">+H27</f>
        <v>2280.40762536724</v>
      </c>
      <c r="I39" s="376" t="n">
        <f aca="false">+I27</f>
        <v>2280.40762536724</v>
      </c>
      <c r="J39" s="376" t="n">
        <f aca="false">+J27</f>
        <v>2280.40762536724</v>
      </c>
      <c r="K39" s="376" t="n">
        <f aca="false">+K27</f>
        <v>2280.40762536724</v>
      </c>
      <c r="L39" s="376" t="n">
        <f aca="false">+L27</f>
        <v>2280.40762536724</v>
      </c>
      <c r="M39" s="376" t="n">
        <f aca="false">+M27</f>
        <v>2280.40762536724</v>
      </c>
      <c r="N39" s="376" t="n">
        <f aca="false">+N27</f>
        <v>2280.40762536724</v>
      </c>
      <c r="O39" s="376" t="n">
        <f aca="false">+O27</f>
        <v>2280.40762536724</v>
      </c>
      <c r="P39" s="376" t="n">
        <f aca="false">+P27</f>
        <v>2280.40762536724</v>
      </c>
      <c r="Q39" s="376" t="n">
        <f aca="false">+Q27</f>
        <v>2280.40762536724</v>
      </c>
      <c r="R39" s="376" t="n">
        <f aca="false">+R27</f>
        <v>2280.40762536724</v>
      </c>
      <c r="S39" s="376" t="n">
        <f aca="false">+S27</f>
        <v>2280.40762536724</v>
      </c>
      <c r="T39" s="376" t="n">
        <f aca="false">+T27</f>
        <v>2280.40762536724</v>
      </c>
      <c r="U39" s="376" t="n">
        <f aca="false">+U27</f>
        <v>2280.40762536724</v>
      </c>
      <c r="V39" s="376" t="n">
        <f aca="false">+V27</f>
        <v>2280.40762536724</v>
      </c>
      <c r="W39" s="376" t="n">
        <f aca="false">+W27</f>
        <v>6088.48511144678</v>
      </c>
    </row>
    <row r="40" customFormat="false" ht="12.75" hidden="false" customHeight="false" outlineLevel="0" collapsed="false">
      <c r="D40" s="375" t="s">
        <v>313</v>
      </c>
      <c r="E40" s="376" t="n">
        <f aca="false">+SUM(E38:E39)</f>
        <v>-50555.6630818846</v>
      </c>
      <c r="F40" s="379" t="n">
        <f aca="false">+SUM(F39)</f>
        <v>2993.0297425653</v>
      </c>
      <c r="G40" s="379" t="n">
        <f aca="false">+SUM(G39)</f>
        <v>2280.40762536724</v>
      </c>
      <c r="H40" s="379" t="n">
        <f aca="false">+SUM(H39)</f>
        <v>2280.40762536724</v>
      </c>
      <c r="I40" s="379" t="n">
        <f aca="false">+SUM(I39)</f>
        <v>2280.40762536724</v>
      </c>
      <c r="J40" s="379" t="n">
        <f aca="false">+SUM(J39)</f>
        <v>2280.40762536724</v>
      </c>
      <c r="K40" s="379" t="n">
        <f aca="false">+SUM(K39)</f>
        <v>2280.40762536724</v>
      </c>
      <c r="L40" s="379" t="n">
        <f aca="false">+SUM(L39)</f>
        <v>2280.40762536724</v>
      </c>
      <c r="M40" s="379" t="n">
        <f aca="false">+SUM(M39)</f>
        <v>2280.40762536724</v>
      </c>
      <c r="N40" s="379" t="n">
        <f aca="false">+SUM(N39)</f>
        <v>2280.40762536724</v>
      </c>
      <c r="O40" s="379" t="n">
        <f aca="false">+SUM(O39)</f>
        <v>2280.40762536724</v>
      </c>
      <c r="P40" s="379" t="n">
        <f aca="false">+SUM(P39)</f>
        <v>2280.40762536724</v>
      </c>
      <c r="Q40" s="379" t="n">
        <f aca="false">+SUM(Q39)</f>
        <v>2280.40762536724</v>
      </c>
      <c r="R40" s="379" t="n">
        <f aca="false">+SUM(R39)</f>
        <v>2280.40762536724</v>
      </c>
      <c r="S40" s="379" t="n">
        <f aca="false">+SUM(S39)</f>
        <v>2280.40762536724</v>
      </c>
      <c r="T40" s="379" t="n">
        <f aca="false">+SUM(T39)</f>
        <v>2280.40762536724</v>
      </c>
      <c r="U40" s="379" t="n">
        <f aca="false">+SUM(U39)</f>
        <v>2280.40762536724</v>
      </c>
      <c r="V40" s="379" t="n">
        <f aca="false">+SUM(V39)</f>
        <v>2280.40762536724</v>
      </c>
      <c r="W40" s="379" t="n">
        <f aca="false">+SUM(W39)</f>
        <v>6088.48511144678</v>
      </c>
      <c r="X40" s="379" t="n">
        <v>0</v>
      </c>
    </row>
    <row r="42" customFormat="false" ht="12.75" hidden="false" customHeight="false" outlineLevel="0" collapsed="false">
      <c r="D42" s="375" t="s">
        <v>17</v>
      </c>
      <c r="E42" s="395" t="n">
        <f aca="false">+XIRR(E40:X40,E15:X15)</f>
        <v>-0.0106875565501836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27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28" man="true" max="65535" min="0"/>
  </colBreak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IW84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C36" activeCellId="0" sqref="C36"/>
    </sheetView>
  </sheetViews>
  <sheetFormatPr defaultColWidth="9.13671875" defaultRowHeight="12.75" customHeight="true" zeroHeight="false" outlineLevelRow="1" outlineLevelCol="0"/>
  <cols>
    <col collapsed="false" customWidth="true" hidden="false" outlineLevel="0" max="1" min="1" style="1" width="63.56"/>
    <col collapsed="false" customWidth="true" hidden="false" outlineLevel="0" max="2" min="2" style="1" width="6.56"/>
    <col collapsed="false" customWidth="true" hidden="false" outlineLevel="0" max="3" min="3" style="321" width="14.14"/>
    <col collapsed="false" customWidth="true" hidden="false" outlineLevel="0" max="4" min="4" style="321" width="11.56"/>
    <col collapsed="false" customWidth="true" hidden="false" outlineLevel="0" max="7" min="5" style="321" width="11.13"/>
    <col collapsed="false" customWidth="true" hidden="false" outlineLevel="0" max="9" min="8" style="321" width="11.99"/>
    <col collapsed="false" customWidth="true" hidden="false" outlineLevel="0" max="10" min="10" style="321" width="12.7"/>
    <col collapsed="false" customWidth="true" hidden="false" outlineLevel="0" max="11" min="11" style="321" width="12.56"/>
    <col collapsed="false" customWidth="true" hidden="false" outlineLevel="0" max="12" min="12" style="321" width="12.7"/>
    <col collapsed="false" customWidth="true" hidden="false" outlineLevel="0" max="15" min="13" style="321" width="11.28"/>
    <col collapsed="false" customWidth="true" hidden="false" outlineLevel="0" max="16" min="16" style="321" width="11.85"/>
    <col collapsed="false" customWidth="true" hidden="false" outlineLevel="0" max="17" min="17" style="321" width="11.13"/>
    <col collapsed="false" customWidth="true" hidden="false" outlineLevel="0" max="18" min="18" style="321" width="11.85"/>
    <col collapsed="false" customWidth="true" hidden="false" outlineLevel="0" max="19" min="19" style="321" width="11.13"/>
    <col collapsed="false" customWidth="true" hidden="false" outlineLevel="0" max="20" min="20" style="321" width="11.56"/>
    <col collapsed="false" customWidth="true" hidden="false" outlineLevel="0" max="21" min="21" style="321" width="11.28"/>
    <col collapsed="false" customWidth="true" hidden="false" outlineLevel="0" max="22" min="22" style="321" width="11.56"/>
    <col collapsed="false" customWidth="true" hidden="false" outlineLevel="0" max="23" min="23" style="321" width="12.7"/>
    <col collapsed="false" customWidth="true" hidden="false" outlineLevel="0" max="33" min="24" style="321" width="12.56"/>
    <col collapsed="false" customWidth="false" hidden="false" outlineLevel="0" max="35" min="34" style="1" width="9.14"/>
    <col collapsed="false" customWidth="true" hidden="false" outlineLevel="0" max="37" min="36" style="1" width="9.85"/>
    <col collapsed="false" customWidth="false" hidden="false" outlineLevel="0" max="79" min="38" style="1" width="9.14"/>
    <col collapsed="false" customWidth="true" hidden="false" outlineLevel="0" max="81" min="80" style="1" width="9.85"/>
    <col collapsed="false" customWidth="false" hidden="false" outlineLevel="0" max="257" min="82" style="1" width="9.14"/>
  </cols>
  <sheetData>
    <row r="2" customFormat="false" ht="18.75" hidden="false" customHeight="false" outlineLevel="0" collapsed="false">
      <c r="A2" s="6" t="str">
        <f aca="false">Assumptions!B3</f>
        <v>PROJECT NAME: SANTEE COOPER</v>
      </c>
    </row>
    <row r="4" customFormat="false" ht="18.75" hidden="false" customHeight="false" outlineLevel="0" collapsed="false">
      <c r="A4" s="323" t="s">
        <v>315</v>
      </c>
    </row>
    <row r="7" customFormat="false" ht="18.75" hidden="false" customHeight="false" outlineLevel="0" collapsed="false">
      <c r="A7" s="6" t="s">
        <v>316</v>
      </c>
    </row>
    <row r="8" customFormat="false" ht="12.75" hidden="false" customHeight="false" outlineLevel="0" collapsed="false">
      <c r="C8" s="325" t="n">
        <f aca="false">'Power Price Assumption'!F9</f>
        <v>0.668493150684932</v>
      </c>
      <c r="D8" s="325" t="n">
        <f aca="false">'Power Price Assumption'!G9</f>
        <v>1.66849315068493</v>
      </c>
      <c r="E8" s="325" t="n">
        <f aca="false">'Power Price Assumption'!H9</f>
        <v>2.66849315068493</v>
      </c>
      <c r="F8" s="325" t="n">
        <f aca="false">'Power Price Assumption'!I9</f>
        <v>3.66849315068493</v>
      </c>
      <c r="G8" s="325" t="n">
        <f aca="false">'Power Price Assumption'!J9</f>
        <v>4.66849315068493</v>
      </c>
      <c r="H8" s="325" t="n">
        <f aca="false">'Power Price Assumption'!K9</f>
        <v>5.66849315068493</v>
      </c>
      <c r="I8" s="325" t="n">
        <f aca="false">'Power Price Assumption'!L9</f>
        <v>6.66849315068493</v>
      </c>
      <c r="J8" s="325" t="n">
        <f aca="false">'Power Price Assumption'!M9</f>
        <v>7.66849315068493</v>
      </c>
      <c r="K8" s="325" t="n">
        <f aca="false">'Power Price Assumption'!N9</f>
        <v>8.66849315068493</v>
      </c>
      <c r="L8" s="325" t="n">
        <f aca="false">'Power Price Assumption'!O9</f>
        <v>9.66849315068493</v>
      </c>
      <c r="M8" s="325" t="n">
        <f aca="false">'Power Price Assumption'!P9</f>
        <v>10.6684931506849</v>
      </c>
      <c r="N8" s="325" t="n">
        <f aca="false">'Power Price Assumption'!Q9</f>
        <v>11.6684931506849</v>
      </c>
      <c r="O8" s="325" t="n">
        <f aca="false">'Power Price Assumption'!R9</f>
        <v>12.6684931506849</v>
      </c>
      <c r="P8" s="325" t="n">
        <f aca="false">'Power Price Assumption'!S9</f>
        <v>13.6684931506849</v>
      </c>
      <c r="Q8" s="325" t="n">
        <f aca="false">'Power Price Assumption'!T9</f>
        <v>14.6684931506849</v>
      </c>
      <c r="R8" s="325" t="n">
        <f aca="false">'Power Price Assumption'!U9</f>
        <v>15.6684931506849</v>
      </c>
      <c r="S8" s="325" t="n">
        <f aca="false">'Power Price Assumption'!V9</f>
        <v>16.6684931506849</v>
      </c>
      <c r="T8" s="325" t="n">
        <f aca="false">'Power Price Assumption'!W9</f>
        <v>17.6684931506849</v>
      </c>
      <c r="U8" s="325" t="n">
        <f aca="false">'Power Price Assumption'!X9</f>
        <v>18.6684931506849</v>
      </c>
      <c r="V8" s="325" t="n">
        <f aca="false">'Power Price Assumption'!Y9</f>
        <v>19.6684931506849</v>
      </c>
      <c r="W8" s="325" t="n">
        <f aca="false">'Power Price Assumption'!Z9</f>
        <v>20.6684931506849</v>
      </c>
      <c r="X8" s="325" t="n">
        <f aca="false">'Power Price Assumption'!AA9</f>
        <v>21.6684931506849</v>
      </c>
      <c r="Y8" s="325" t="n">
        <f aca="false">'Power Price Assumption'!AB9</f>
        <v>22.6684931506849</v>
      </c>
      <c r="Z8" s="325" t="n">
        <f aca="false">'Power Price Assumption'!AC9</f>
        <v>23.6684931506849</v>
      </c>
      <c r="AA8" s="325" t="n">
        <f aca="false">'Power Price Assumption'!AD9</f>
        <v>24.6684931506849</v>
      </c>
      <c r="AB8" s="325" t="n">
        <f aca="false">'Power Price Assumption'!AE9</f>
        <v>25.6684931506849</v>
      </c>
      <c r="AC8" s="325" t="n">
        <f aca="false">'Power Price Assumption'!AF9</f>
        <v>26.6684931506849</v>
      </c>
      <c r="AD8" s="325" t="n">
        <f aca="false">'Power Price Assumption'!AG9</f>
        <v>27.6684931506849</v>
      </c>
      <c r="AE8" s="325" t="n">
        <f aca="false">'Power Price Assumption'!AH9</f>
        <v>28.6684931506849</v>
      </c>
      <c r="AF8" s="325" t="n">
        <f aca="false">'Power Price Assumption'!AI9</f>
        <v>29.6684931506849</v>
      </c>
      <c r="AG8" s="325" t="n">
        <f aca="false">'Power Price Assumption'!AJ9</f>
        <v>30.6684931506849</v>
      </c>
    </row>
    <row r="9" customFormat="false" ht="13.5" hidden="false" customHeight="false" outlineLevel="1" collapsed="false">
      <c r="A9" s="326" t="s">
        <v>247</v>
      </c>
      <c r="B9" s="396"/>
      <c r="C9" s="328" t="n">
        <f aca="false">'Power Price Assumption'!F10</f>
        <v>2001</v>
      </c>
      <c r="D9" s="328" t="n">
        <f aca="false">'Power Price Assumption'!G10</f>
        <v>2002</v>
      </c>
      <c r="E9" s="328" t="n">
        <f aca="false">'Power Price Assumption'!H10</f>
        <v>2003</v>
      </c>
      <c r="F9" s="328" t="n">
        <f aca="false">'Power Price Assumption'!I10</f>
        <v>2004</v>
      </c>
      <c r="G9" s="328" t="n">
        <f aca="false">'Power Price Assumption'!J10</f>
        <v>2005</v>
      </c>
      <c r="H9" s="328" t="n">
        <f aca="false">'Power Price Assumption'!K10</f>
        <v>2006</v>
      </c>
      <c r="I9" s="328" t="n">
        <f aca="false">'Power Price Assumption'!L10</f>
        <v>2007</v>
      </c>
      <c r="J9" s="328" t="n">
        <f aca="false">'Power Price Assumption'!M10</f>
        <v>2008</v>
      </c>
      <c r="K9" s="328" t="n">
        <f aca="false">'Power Price Assumption'!N10</f>
        <v>2009</v>
      </c>
      <c r="L9" s="328" t="n">
        <f aca="false">'Power Price Assumption'!O10</f>
        <v>2010</v>
      </c>
      <c r="M9" s="328" t="n">
        <f aca="false">'Power Price Assumption'!P10</f>
        <v>2011</v>
      </c>
      <c r="N9" s="328" t="n">
        <f aca="false">'Power Price Assumption'!Q10</f>
        <v>2012</v>
      </c>
      <c r="O9" s="328" t="n">
        <f aca="false">'Power Price Assumption'!R10</f>
        <v>2013</v>
      </c>
      <c r="P9" s="328" t="n">
        <f aca="false">'Power Price Assumption'!S10</f>
        <v>2014</v>
      </c>
      <c r="Q9" s="328" t="n">
        <f aca="false">'Power Price Assumption'!T10</f>
        <v>2015</v>
      </c>
      <c r="R9" s="328" t="n">
        <f aca="false">'Power Price Assumption'!U10</f>
        <v>2016</v>
      </c>
      <c r="S9" s="328" t="n">
        <f aca="false">'Power Price Assumption'!V10</f>
        <v>2017</v>
      </c>
      <c r="T9" s="328" t="n">
        <f aca="false">'Power Price Assumption'!W10</f>
        <v>2018</v>
      </c>
      <c r="U9" s="328" t="n">
        <f aca="false">'Power Price Assumption'!X10</f>
        <v>2019</v>
      </c>
      <c r="V9" s="328" t="n">
        <f aca="false">'Power Price Assumption'!Y10</f>
        <v>2020</v>
      </c>
      <c r="W9" s="328" t="n">
        <f aca="false">'Power Price Assumption'!Z10</f>
        <v>2021</v>
      </c>
      <c r="X9" s="328" t="n">
        <f aca="false">'Power Price Assumption'!AA10</f>
        <v>2022</v>
      </c>
      <c r="Y9" s="328" t="n">
        <f aca="false">'Power Price Assumption'!AB10</f>
        <v>2023</v>
      </c>
      <c r="Z9" s="328" t="n">
        <f aca="false">'Power Price Assumption'!AC10</f>
        <v>2024</v>
      </c>
      <c r="AA9" s="328" t="n">
        <f aca="false">'Power Price Assumption'!AD10</f>
        <v>2025</v>
      </c>
      <c r="AB9" s="328" t="n">
        <f aca="false">'Power Price Assumption'!AE10</f>
        <v>2026</v>
      </c>
      <c r="AC9" s="328" t="n">
        <f aca="false">'Power Price Assumption'!AF10</f>
        <v>2027</v>
      </c>
      <c r="AD9" s="328" t="n">
        <f aca="false">'Power Price Assumption'!AG10</f>
        <v>2028</v>
      </c>
      <c r="AE9" s="328" t="n">
        <f aca="false">'Power Price Assumption'!AH10</f>
        <v>2029</v>
      </c>
      <c r="AF9" s="328" t="n">
        <f aca="false">'Power Price Assumption'!AI10</f>
        <v>2030</v>
      </c>
      <c r="AG9" s="328" t="n">
        <f aca="false">'Power Price Assumption'!AJ10</f>
        <v>2031</v>
      </c>
    </row>
    <row r="10" customFormat="false" ht="12.75" hidden="false" customHeight="false" outlineLevel="1" collapsed="false">
      <c r="A10" s="397"/>
      <c r="B10" s="329"/>
      <c r="C10" s="398"/>
      <c r="D10" s="398"/>
      <c r="E10" s="398"/>
      <c r="F10" s="398"/>
      <c r="G10" s="398"/>
      <c r="H10" s="398"/>
      <c r="I10" s="398"/>
      <c r="J10" s="398"/>
      <c r="K10" s="398"/>
      <c r="L10" s="398"/>
      <c r="M10" s="398"/>
      <c r="N10" s="398"/>
      <c r="O10" s="398"/>
      <c r="P10" s="398"/>
      <c r="Q10" s="398"/>
      <c r="R10" s="398"/>
      <c r="S10" s="398"/>
      <c r="T10" s="398"/>
      <c r="U10" s="398"/>
      <c r="V10" s="398"/>
      <c r="W10" s="398"/>
      <c r="X10" s="398"/>
      <c r="Y10" s="398"/>
      <c r="Z10" s="398"/>
      <c r="AA10" s="398"/>
      <c r="AB10" s="398"/>
      <c r="AC10" s="398"/>
      <c r="AD10" s="398"/>
      <c r="AE10" s="398"/>
      <c r="AF10" s="398"/>
      <c r="AG10" s="398"/>
    </row>
    <row r="11" customFormat="false" ht="12.75" hidden="false" customHeight="false" outlineLevel="1" collapsed="false">
      <c r="A11" s="329"/>
      <c r="B11" s="329"/>
      <c r="C11" s="399"/>
      <c r="D11" s="399"/>
      <c r="E11" s="399"/>
      <c r="F11" s="399"/>
      <c r="G11" s="399"/>
      <c r="H11" s="399"/>
      <c r="I11" s="400"/>
      <c r="J11" s="400"/>
      <c r="K11" s="401"/>
      <c r="L11" s="401"/>
      <c r="M11" s="400"/>
      <c r="N11" s="400"/>
      <c r="O11" s="399"/>
      <c r="P11" s="399"/>
      <c r="Q11" s="399"/>
      <c r="R11" s="399"/>
      <c r="S11" s="399"/>
      <c r="T11" s="399"/>
      <c r="U11" s="399"/>
      <c r="V11" s="399"/>
      <c r="W11" s="399"/>
      <c r="X11" s="399"/>
      <c r="Y11" s="399"/>
      <c r="Z11" s="399"/>
      <c r="AA11" s="399"/>
      <c r="AB11" s="399"/>
      <c r="AC11" s="399"/>
      <c r="AD11" s="399"/>
      <c r="AE11" s="399"/>
      <c r="AF11" s="399"/>
      <c r="AG11" s="399"/>
    </row>
    <row r="12" customFormat="false" ht="12.75" hidden="false" customHeight="false" outlineLevel="0" collapsed="false">
      <c r="A12" s="402" t="s">
        <v>284</v>
      </c>
      <c r="C12" s="334" t="n">
        <f aca="false">IS!D72</f>
        <v>7180.85545774194</v>
      </c>
      <c r="D12" s="403" t="n">
        <f aca="false">IS!E72</f>
        <v>10656.0590557205</v>
      </c>
      <c r="E12" s="403" t="n">
        <f aca="false">IS!F72</f>
        <v>10656.0590557205</v>
      </c>
      <c r="F12" s="403" t="n">
        <f aca="false">IS!G72</f>
        <v>10656.0590557205</v>
      </c>
      <c r="G12" s="403" t="n">
        <f aca="false">IS!H72</f>
        <v>10656.0590557205</v>
      </c>
      <c r="H12" s="403" t="n">
        <f aca="false">IS!I72</f>
        <v>10656.0590557205</v>
      </c>
      <c r="I12" s="403" t="n">
        <f aca="false">IS!J72</f>
        <v>10656.0590557205</v>
      </c>
      <c r="J12" s="403" t="n">
        <f aca="false">IS!K72</f>
        <v>10656.0590557205</v>
      </c>
      <c r="K12" s="403" t="n">
        <f aca="false">IS!L72</f>
        <v>10656.0590557205</v>
      </c>
      <c r="L12" s="403" t="n">
        <f aca="false">IS!M72</f>
        <v>10656.0590557205</v>
      </c>
      <c r="M12" s="403" t="n">
        <f aca="false">IS!N72</f>
        <v>10656.0590557205</v>
      </c>
      <c r="N12" s="403" t="n">
        <f aca="false">IS!O72</f>
        <v>10656.0590557205</v>
      </c>
      <c r="O12" s="403" t="n">
        <f aca="false">IS!P72</f>
        <v>10656.0590557205</v>
      </c>
      <c r="P12" s="403" t="n">
        <f aca="false">IS!Q72</f>
        <v>10656.0590557205</v>
      </c>
      <c r="Q12" s="403" t="n">
        <f aca="false">IS!R72</f>
        <v>10656.0590557205</v>
      </c>
      <c r="R12" s="403" t="n">
        <f aca="false">IS!S72</f>
        <v>10656.0590557205</v>
      </c>
      <c r="S12" s="403" t="n">
        <f aca="false">IS!T72</f>
        <v>10656.0590557205</v>
      </c>
      <c r="T12" s="403" t="n">
        <f aca="false">IS!U72</f>
        <v>10656.0590557205</v>
      </c>
      <c r="U12" s="403" t="n">
        <f aca="false">IS!V72</f>
        <v>10656.0590557205</v>
      </c>
      <c r="V12" s="403" t="n">
        <f aca="false">IS!W72</f>
        <v>10656.0590557205</v>
      </c>
      <c r="W12" s="403" t="n">
        <f aca="false">IS!X72</f>
        <v>10656.0590557205</v>
      </c>
      <c r="X12" s="403" t="n">
        <f aca="false">IS!Y72</f>
        <v>10656.0590557205</v>
      </c>
      <c r="Y12" s="403" t="n">
        <f aca="false">IS!Z72</f>
        <v>10656.0590557205</v>
      </c>
      <c r="Z12" s="403" t="n">
        <f aca="false">IS!AA72</f>
        <v>10656.0590557205</v>
      </c>
      <c r="AA12" s="403" t="n">
        <f aca="false">IS!AB72</f>
        <v>10656.0590557205</v>
      </c>
      <c r="AB12" s="403" t="n">
        <f aca="false">IS!AC72</f>
        <v>-2661.55130427948</v>
      </c>
      <c r="AC12" s="403" t="n">
        <f aca="false">IS!AD72</f>
        <v>-2661.55130427948</v>
      </c>
      <c r="AD12" s="403" t="n">
        <f aca="false">IS!AE72</f>
        <v>-2661.55130427948</v>
      </c>
      <c r="AE12" s="403" t="n">
        <f aca="false">IS!AF72</f>
        <v>-2661.55130427948</v>
      </c>
      <c r="AF12" s="403" t="n">
        <f aca="false">IS!AG72</f>
        <v>-2661.55130427948</v>
      </c>
      <c r="AG12" s="403" t="n">
        <f aca="false">IS!AH72</f>
        <v>-2661.55130427948</v>
      </c>
    </row>
    <row r="14" customFormat="false" ht="12.75" hidden="false" customHeight="false" outlineLevel="0" collapsed="false">
      <c r="A14" s="404" t="s">
        <v>317</v>
      </c>
      <c r="C14" s="334" t="n">
        <f aca="false">Debt!B102</f>
        <v>0</v>
      </c>
      <c r="D14" s="334" t="n">
        <f aca="false">Debt!C102</f>
        <v>0</v>
      </c>
      <c r="E14" s="334" t="n">
        <f aca="false">Debt!D102</f>
        <v>0</v>
      </c>
      <c r="F14" s="334" t="n">
        <f aca="false">Debt!E102</f>
        <v>0</v>
      </c>
      <c r="G14" s="334" t="n">
        <f aca="false">Debt!F102</f>
        <v>0</v>
      </c>
      <c r="H14" s="334" t="n">
        <f aca="false">Debt!G102</f>
        <v>0</v>
      </c>
      <c r="I14" s="334" t="n">
        <f aca="false">Debt!H102</f>
        <v>0</v>
      </c>
      <c r="J14" s="334" t="n">
        <f aca="false">Debt!I102</f>
        <v>0</v>
      </c>
      <c r="K14" s="334" t="n">
        <f aca="false">Debt!J102</f>
        <v>0</v>
      </c>
      <c r="L14" s="334" t="n">
        <f aca="false">Debt!K102</f>
        <v>0</v>
      </c>
      <c r="M14" s="334" t="n">
        <f aca="false">Debt!L102</f>
        <v>0</v>
      </c>
      <c r="N14" s="334" t="n">
        <f aca="false">Debt!M102</f>
        <v>0</v>
      </c>
      <c r="O14" s="334" t="n">
        <f aca="false">Debt!N102</f>
        <v>0</v>
      </c>
      <c r="P14" s="334" t="n">
        <f aca="false">Debt!O102</f>
        <v>0</v>
      </c>
      <c r="Q14" s="334" t="n">
        <f aca="false">Debt!P102</f>
        <v>0</v>
      </c>
      <c r="R14" s="334" t="n">
        <f aca="false">Debt!Q102</f>
        <v>0</v>
      </c>
      <c r="S14" s="334" t="n">
        <f aca="false">Debt!R102</f>
        <v>0</v>
      </c>
      <c r="T14" s="334" t="n">
        <f aca="false">Debt!S102</f>
        <v>0</v>
      </c>
      <c r="U14" s="334" t="n">
        <f aca="false">Debt!T102</f>
        <v>0</v>
      </c>
      <c r="V14" s="334" t="n">
        <f aca="false">Debt!U102</f>
        <v>0</v>
      </c>
      <c r="W14" s="334" t="n">
        <f aca="false">Debt!V102</f>
        <v>0</v>
      </c>
      <c r="X14" s="334" t="n">
        <f aca="false">Debt!W102</f>
        <v>0</v>
      </c>
      <c r="Y14" s="334" t="n">
        <f aca="false">Debt!X102</f>
        <v>0</v>
      </c>
      <c r="Z14" s="334" t="n">
        <f aca="false">Debt!Y102</f>
        <v>0</v>
      </c>
      <c r="AA14" s="334" t="n">
        <f aca="false">Debt!Z102</f>
        <v>0</v>
      </c>
      <c r="AB14" s="334" t="n">
        <f aca="false">Debt!AA102</f>
        <v>0</v>
      </c>
      <c r="AC14" s="334" t="n">
        <f aca="false">Debt!AB102</f>
        <v>0</v>
      </c>
      <c r="AD14" s="334" t="n">
        <f aca="false">Debt!AC102</f>
        <v>0</v>
      </c>
      <c r="AE14" s="334" t="n">
        <f aca="false">Debt!AD102</f>
        <v>0</v>
      </c>
      <c r="AF14" s="334" t="n">
        <f aca="false">Debt!AE102</f>
        <v>0</v>
      </c>
      <c r="AG14" s="334" t="n">
        <f aca="false">Debt!AF102</f>
        <v>0</v>
      </c>
    </row>
    <row r="15" customFormat="false" ht="12.75" hidden="false" customHeight="false" outlineLevel="0" collapsed="false">
      <c r="A15" s="404" t="s">
        <v>318</v>
      </c>
      <c r="C15" s="403" t="n">
        <f aca="false">-Debt!B108</f>
        <v>-0</v>
      </c>
      <c r="D15" s="403" t="n">
        <f aca="false">-Debt!C108</f>
        <v>-2123.98799228771</v>
      </c>
      <c r="E15" s="403" t="n">
        <f aca="false">-Debt!D108</f>
        <v>-2396.45651214064</v>
      </c>
      <c r="F15" s="403" t="n">
        <f aca="false">-Debt!E108</f>
        <v>-2587.77215985768</v>
      </c>
      <c r="G15" s="403" t="n">
        <f aca="false">-Debt!F108</f>
        <v>-2794.36105658882</v>
      </c>
      <c r="H15" s="403" t="n">
        <f aca="false">-Debt!G108</f>
        <v>-3017.44250738428</v>
      </c>
      <c r="I15" s="403" t="n">
        <f aca="false">-Debt!H108</f>
        <v>-3258.333157736</v>
      </c>
      <c r="J15" s="403" t="n">
        <f aca="false">-Debt!I108</f>
        <v>-3518.45476453008</v>
      </c>
      <c r="K15" s="403" t="n">
        <f aca="false">-Debt!J108</f>
        <v>-3799.34258737562</v>
      </c>
      <c r="L15" s="403" t="n">
        <f aca="false">-Debt!K108</f>
        <v>-4102.65444983601</v>
      </c>
      <c r="M15" s="403" t="n">
        <f aca="false">-Debt!L108</f>
        <v>-4430.18052404315</v>
      </c>
      <c r="N15" s="403" t="n">
        <f aca="false">-Debt!M108</f>
        <v>-4783.853896444</v>
      </c>
      <c r="O15" s="403" t="n">
        <f aca="false">-Debt!N108</f>
        <v>-5165.76197703935</v>
      </c>
      <c r="P15" s="403" t="n">
        <f aca="false">-Debt!O108</f>
        <v>-5578.15881945339</v>
      </c>
      <c r="Q15" s="403" t="n">
        <f aca="false">-Debt!P108</f>
        <v>-6023.47842454774</v>
      </c>
      <c r="R15" s="403" t="n">
        <f aca="false">-Debt!Q108</f>
        <v>-6504.34910609939</v>
      </c>
      <c r="S15" s="403" t="n">
        <f aca="false">-Debt!R108</f>
        <v>-7023.60900332975</v>
      </c>
      <c r="T15" s="403" t="n">
        <f aca="false">-Debt!S108</f>
        <v>-7584.32283184107</v>
      </c>
      <c r="U15" s="403" t="n">
        <f aca="false">-Debt!T108</f>
        <v>-4381.72248574632</v>
      </c>
      <c r="V15" s="403" t="n">
        <f aca="false">-Debt!U108</f>
        <v>-0</v>
      </c>
      <c r="W15" s="403" t="n">
        <f aca="false">-Debt!V108</f>
        <v>-0</v>
      </c>
      <c r="X15" s="403" t="n">
        <f aca="false">-Debt!W108</f>
        <v>-0</v>
      </c>
      <c r="Y15" s="403" t="n">
        <f aca="false">-Debt!X108</f>
        <v>-0</v>
      </c>
      <c r="Z15" s="403" t="n">
        <f aca="false">-Debt!Y108</f>
        <v>-0</v>
      </c>
      <c r="AA15" s="403" t="n">
        <f aca="false">-Debt!Z108</f>
        <v>-0</v>
      </c>
      <c r="AB15" s="403" t="n">
        <f aca="false">-Debt!AA108</f>
        <v>-0</v>
      </c>
      <c r="AC15" s="403" t="n">
        <f aca="false">-Debt!AB108</f>
        <v>-0</v>
      </c>
      <c r="AD15" s="403" t="n">
        <f aca="false">-Debt!AC108</f>
        <v>-0</v>
      </c>
      <c r="AE15" s="403" t="n">
        <f aca="false">-Debt!AD108</f>
        <v>-0</v>
      </c>
      <c r="AF15" s="403" t="n">
        <f aca="false">-Debt!AE108</f>
        <v>-0</v>
      </c>
      <c r="AG15" s="403" t="n">
        <f aca="false">-Debt!AF108</f>
        <v>-0</v>
      </c>
    </row>
    <row r="16" customFormat="false" ht="12.75" hidden="false" customHeight="false" outlineLevel="0" collapsed="false">
      <c r="A16" s="404" t="s">
        <v>319</v>
      </c>
      <c r="C16" s="361" t="n">
        <f aca="false">-Debt!B106</f>
        <v>-0</v>
      </c>
      <c r="D16" s="361" t="n">
        <f aca="false">-Debt!C106</f>
        <v>-2063.83772288893</v>
      </c>
      <c r="E16" s="361" t="n">
        <f aca="false">-Debt!D106</f>
        <v>-5979.19491821265</v>
      </c>
      <c r="F16" s="361" t="n">
        <f aca="false">-Debt!E106</f>
        <v>-5787.87927049561</v>
      </c>
      <c r="G16" s="361" t="n">
        <f aca="false">-Debt!F106</f>
        <v>-5581.29037376447</v>
      </c>
      <c r="H16" s="361" t="n">
        <f aca="false">-Debt!G106</f>
        <v>-5358.208922969</v>
      </c>
      <c r="I16" s="361" t="n">
        <f aca="false">-Debt!H106</f>
        <v>-5117.31827261729</v>
      </c>
      <c r="J16" s="361" t="n">
        <f aca="false">-Debt!I106</f>
        <v>-4857.1966658232</v>
      </c>
      <c r="K16" s="361" t="n">
        <f aca="false">-Debt!J106</f>
        <v>-4576.30884297767</v>
      </c>
      <c r="L16" s="361" t="n">
        <f aca="false">-Debt!K106</f>
        <v>-4272.99698051728</v>
      </c>
      <c r="M16" s="361" t="n">
        <f aca="false">-Debt!L106</f>
        <v>-3945.47090631013</v>
      </c>
      <c r="N16" s="361" t="n">
        <f aca="false">-Debt!M106</f>
        <v>-3591.79753390929</v>
      </c>
      <c r="O16" s="361" t="n">
        <f aca="false">-Debt!N106</f>
        <v>-3209.88945331393</v>
      </c>
      <c r="P16" s="361" t="n">
        <f aca="false">-Debt!O106</f>
        <v>-2797.4926108999</v>
      </c>
      <c r="Q16" s="361" t="n">
        <f aca="false">-Debt!P106</f>
        <v>-2352.17300580555</v>
      </c>
      <c r="R16" s="361" t="n">
        <f aca="false">-Debt!Q106</f>
        <v>-1871.30232425389</v>
      </c>
      <c r="S16" s="361" t="n">
        <f aca="false">-Debt!R106</f>
        <v>-1352.04242702354</v>
      </c>
      <c r="T16" s="361" t="n">
        <f aca="false">-Debt!S106</f>
        <v>-791.328598512212</v>
      </c>
      <c r="U16" s="361" t="n">
        <f aca="false">-Debt!T106</f>
        <v>-185.85145852743</v>
      </c>
      <c r="V16" s="361" t="n">
        <f aca="false">-Debt!U106</f>
        <v>-0</v>
      </c>
      <c r="W16" s="361" t="n">
        <f aca="false">-Debt!V106</f>
        <v>-0</v>
      </c>
      <c r="X16" s="361" t="n">
        <f aca="false">-Debt!W106</f>
        <v>-0</v>
      </c>
      <c r="Y16" s="361" t="n">
        <f aca="false">-Debt!X106</f>
        <v>-0</v>
      </c>
      <c r="Z16" s="361" t="n">
        <f aca="false">-Debt!Y106</f>
        <v>-0</v>
      </c>
      <c r="AA16" s="361" t="n">
        <f aca="false">-Debt!Z106</f>
        <v>-0</v>
      </c>
      <c r="AB16" s="361" t="n">
        <f aca="false">-Debt!AA106</f>
        <v>-0</v>
      </c>
      <c r="AC16" s="361" t="n">
        <f aca="false">-Debt!AB106</f>
        <v>-0</v>
      </c>
      <c r="AD16" s="361" t="n">
        <f aca="false">-Debt!AC106</f>
        <v>-0</v>
      </c>
      <c r="AE16" s="361" t="n">
        <f aca="false">-Debt!AD106</f>
        <v>-0</v>
      </c>
      <c r="AF16" s="361" t="n">
        <f aca="false">-Debt!AE106</f>
        <v>-0</v>
      </c>
      <c r="AG16" s="361" t="n">
        <f aca="false">-Debt!AF106</f>
        <v>-0</v>
      </c>
    </row>
    <row r="17" customFormat="false" ht="12.75" hidden="false" customHeight="false" outlineLevel="0" collapsed="false">
      <c r="A17" s="404"/>
      <c r="C17" s="403"/>
      <c r="D17" s="403"/>
      <c r="E17" s="403"/>
      <c r="F17" s="403"/>
      <c r="G17" s="403"/>
      <c r="H17" s="403"/>
      <c r="I17" s="403"/>
      <c r="J17" s="403"/>
      <c r="K17" s="403"/>
      <c r="L17" s="403"/>
      <c r="M17" s="403"/>
      <c r="N17" s="403"/>
      <c r="O17" s="403"/>
      <c r="P17" s="403"/>
      <c r="Q17" s="403"/>
      <c r="R17" s="403"/>
      <c r="S17" s="403"/>
      <c r="T17" s="403"/>
      <c r="U17" s="403"/>
      <c r="V17" s="403"/>
      <c r="W17" s="403"/>
      <c r="X17" s="403"/>
      <c r="Y17" s="403"/>
      <c r="Z17" s="403"/>
      <c r="AA17" s="403"/>
      <c r="AB17" s="403"/>
      <c r="AC17" s="403"/>
      <c r="AD17" s="403"/>
      <c r="AE17" s="403"/>
      <c r="AF17" s="403"/>
      <c r="AG17" s="403"/>
    </row>
    <row r="18" customFormat="false" ht="12.75" hidden="false" customHeight="false" outlineLevel="0" collapsed="false">
      <c r="A18" s="402" t="s">
        <v>294</v>
      </c>
      <c r="C18" s="405" t="n">
        <f aca="false">SUM(C12:C16)</f>
        <v>7180.85545774194</v>
      </c>
      <c r="D18" s="365" t="n">
        <f aca="false">SUM(D12:D16)</f>
        <v>6468.23334054388</v>
      </c>
      <c r="E18" s="365" t="n">
        <f aca="false">SUM(E12:E16)</f>
        <v>2280.40762536724</v>
      </c>
      <c r="F18" s="365" t="n">
        <f aca="false">SUM(F12:F16)</f>
        <v>2280.40762536724</v>
      </c>
      <c r="G18" s="365" t="n">
        <f aca="false">SUM(G12:G16)</f>
        <v>2280.40762536724</v>
      </c>
      <c r="H18" s="365" t="n">
        <f aca="false">SUM(H12:H16)</f>
        <v>2280.40762536724</v>
      </c>
      <c r="I18" s="365" t="n">
        <f aca="false">SUM(I12:I16)</f>
        <v>2280.40762536724</v>
      </c>
      <c r="J18" s="365" t="n">
        <f aca="false">SUM(J12:J16)</f>
        <v>2280.40762536724</v>
      </c>
      <c r="K18" s="365" t="n">
        <f aca="false">SUM(K12:K16)</f>
        <v>2280.40762536724</v>
      </c>
      <c r="L18" s="365" t="n">
        <f aca="false">SUM(L12:L16)</f>
        <v>2280.40762536724</v>
      </c>
      <c r="M18" s="365" t="n">
        <f aca="false">SUM(M12:M16)</f>
        <v>2280.40762536724</v>
      </c>
      <c r="N18" s="365" t="n">
        <f aca="false">SUM(N12:N16)</f>
        <v>2280.40762536724</v>
      </c>
      <c r="O18" s="365" t="n">
        <f aca="false">SUM(O12:O16)</f>
        <v>2280.40762536724</v>
      </c>
      <c r="P18" s="365" t="n">
        <f aca="false">SUM(P12:P16)</f>
        <v>2280.40762536724</v>
      </c>
      <c r="Q18" s="365" t="n">
        <f aca="false">SUM(Q12:Q16)</f>
        <v>2280.40762536724</v>
      </c>
      <c r="R18" s="365" t="n">
        <f aca="false">SUM(R12:R16)</f>
        <v>2280.40762536724</v>
      </c>
      <c r="S18" s="365" t="n">
        <f aca="false">SUM(S12:S16)</f>
        <v>2280.40762536724</v>
      </c>
      <c r="T18" s="365" t="n">
        <f aca="false">SUM(T12:T16)</f>
        <v>2280.40762536724</v>
      </c>
      <c r="U18" s="365" t="n">
        <f aca="false">SUM(U12:U16)</f>
        <v>6088.48511144678</v>
      </c>
      <c r="V18" s="365" t="n">
        <f aca="false">SUM(V12:V16)</f>
        <v>10656.0590557205</v>
      </c>
      <c r="W18" s="365" t="n">
        <f aca="false">SUM(W12:W16)</f>
        <v>10656.0590557205</v>
      </c>
      <c r="X18" s="365" t="n">
        <f aca="false">SUM(X12:X16)</f>
        <v>10656.0590557205</v>
      </c>
      <c r="Y18" s="365" t="n">
        <f aca="false">SUM(Y12:Y16)</f>
        <v>10656.0590557205</v>
      </c>
      <c r="Z18" s="365" t="n">
        <f aca="false">SUM(Z12:Z16)</f>
        <v>10656.0590557205</v>
      </c>
      <c r="AA18" s="365" t="n">
        <f aca="false">SUM(AA12:AA16)</f>
        <v>10656.0590557205</v>
      </c>
      <c r="AB18" s="365" t="n">
        <f aca="false">SUM(AB12:AB16)</f>
        <v>-2661.55130427948</v>
      </c>
      <c r="AC18" s="365" t="n">
        <f aca="false">SUM(AC12:AC16)</f>
        <v>-2661.55130427948</v>
      </c>
      <c r="AD18" s="365" t="n">
        <f aca="false">SUM(AD12:AD16)</f>
        <v>-2661.55130427948</v>
      </c>
      <c r="AE18" s="365" t="n">
        <f aca="false">SUM(AE12:AE16)</f>
        <v>-2661.55130427948</v>
      </c>
      <c r="AF18" s="365" t="n">
        <f aca="false">SUM(AF12:AF16)</f>
        <v>-2661.55130427948</v>
      </c>
      <c r="AG18" s="365" t="n">
        <f aca="false">SUM(AG12:AG16)</f>
        <v>-2661.55130427948</v>
      </c>
    </row>
    <row r="19" customFormat="false" ht="12.75" hidden="false" customHeight="false" outlineLevel="0" collapsed="false">
      <c r="A19" s="402"/>
      <c r="C19" s="334"/>
      <c r="D19" s="343"/>
      <c r="E19" s="343"/>
      <c r="F19" s="343"/>
      <c r="G19" s="343"/>
      <c r="H19" s="343"/>
      <c r="I19" s="343"/>
      <c r="J19" s="343"/>
      <c r="K19" s="343"/>
      <c r="L19" s="343"/>
      <c r="M19" s="343"/>
      <c r="N19" s="343"/>
      <c r="O19" s="343"/>
      <c r="P19" s="343"/>
      <c r="Q19" s="343"/>
      <c r="R19" s="343"/>
      <c r="S19" s="343"/>
      <c r="T19" s="343"/>
      <c r="U19" s="343"/>
      <c r="V19" s="343"/>
      <c r="W19" s="343"/>
      <c r="X19" s="343"/>
      <c r="Y19" s="343"/>
      <c r="Z19" s="343"/>
      <c r="AA19" s="343"/>
      <c r="AB19" s="343"/>
      <c r="AC19" s="343"/>
      <c r="AD19" s="343"/>
      <c r="AE19" s="343"/>
      <c r="AF19" s="343"/>
      <c r="AG19" s="343"/>
    </row>
    <row r="20" customFormat="false" ht="12.75" hidden="false" customHeight="false" outlineLevel="0" collapsed="false">
      <c r="A20" s="345" t="s">
        <v>320</v>
      </c>
      <c r="C20" s="343" t="n">
        <f aca="false">-Tax!B30</f>
        <v>-0</v>
      </c>
      <c r="D20" s="343" t="n">
        <f aca="false">-Tax!C30</f>
        <v>-0</v>
      </c>
      <c r="E20" s="343" t="n">
        <f aca="false">-Tax!D30</f>
        <v>-0</v>
      </c>
      <c r="F20" s="343" t="n">
        <f aca="false">-Tax!E30</f>
        <v>-0</v>
      </c>
      <c r="G20" s="343" t="n">
        <f aca="false">-Tax!F30</f>
        <v>-0</v>
      </c>
      <c r="H20" s="343" t="n">
        <f aca="false">-Tax!G30</f>
        <v>-0</v>
      </c>
      <c r="I20" s="343" t="n">
        <f aca="false">-Tax!H30</f>
        <v>-0</v>
      </c>
      <c r="J20" s="343" t="n">
        <f aca="false">-Tax!I30</f>
        <v>-0</v>
      </c>
      <c r="K20" s="343" t="n">
        <f aca="false">-Tax!J30</f>
        <v>-0</v>
      </c>
      <c r="L20" s="343" t="n">
        <f aca="false">-Tax!K30</f>
        <v>-0</v>
      </c>
      <c r="M20" s="343" t="n">
        <f aca="false">-Tax!L30</f>
        <v>-0</v>
      </c>
      <c r="N20" s="343" t="n">
        <f aca="false">-Tax!M30</f>
        <v>-0</v>
      </c>
      <c r="O20" s="343" t="n">
        <f aca="false">-Tax!N30</f>
        <v>-0</v>
      </c>
      <c r="P20" s="343" t="n">
        <f aca="false">-Tax!O30</f>
        <v>-0</v>
      </c>
      <c r="Q20" s="343" t="n">
        <f aca="false">-Tax!P30</f>
        <v>-0</v>
      </c>
      <c r="R20" s="343" t="n">
        <f aca="false">-Tax!Q30</f>
        <v>-0</v>
      </c>
      <c r="S20" s="343" t="n">
        <f aca="false">-Tax!R30</f>
        <v>-0</v>
      </c>
      <c r="T20" s="343" t="n">
        <f aca="false">-Tax!S30</f>
        <v>-0</v>
      </c>
      <c r="U20" s="343" t="n">
        <f aca="false">-Tax!T30</f>
        <v>-636.663543343232</v>
      </c>
      <c r="V20" s="343" t="n">
        <f aca="false">-Tax!U30</f>
        <v>-636.663543343232</v>
      </c>
      <c r="W20" s="343" t="n">
        <f aca="false">-Tax!V30</f>
        <v>-639.363543343232</v>
      </c>
      <c r="X20" s="343" t="n">
        <f aca="false">-Tax!W30</f>
        <v>-639.363543343232</v>
      </c>
      <c r="Y20" s="343" t="n">
        <f aca="false">-Tax!X30</f>
        <v>-639.363543343232</v>
      </c>
      <c r="Z20" s="343" t="n">
        <f aca="false">-Tax!Y30</f>
        <v>-639.363543343232</v>
      </c>
      <c r="AA20" s="343" t="n">
        <f aca="false">-Tax!Z30</f>
        <v>-639.363543343232</v>
      </c>
      <c r="AB20" s="343" t="n">
        <f aca="false">-Tax!AA30</f>
        <v>-0</v>
      </c>
      <c r="AC20" s="343" t="n">
        <f aca="false">-Tax!AB30</f>
        <v>-0</v>
      </c>
      <c r="AD20" s="343" t="n">
        <f aca="false">-Tax!AC30</f>
        <v>-0</v>
      </c>
      <c r="AE20" s="343" t="n">
        <f aca="false">-Tax!AD30</f>
        <v>-0</v>
      </c>
      <c r="AF20" s="343" t="n">
        <f aca="false">-Tax!AE30</f>
        <v>-0</v>
      </c>
      <c r="AG20" s="343" t="n">
        <f aca="false">-Tax!AF30</f>
        <v>-0</v>
      </c>
    </row>
    <row r="21" customFormat="false" ht="12.75" hidden="false" customHeight="false" outlineLevel="0" collapsed="false">
      <c r="A21" s="345" t="s">
        <v>321</v>
      </c>
      <c r="C21" s="361" t="n">
        <f aca="false">-Tax!B41</f>
        <v>435.348747640408</v>
      </c>
      <c r="D21" s="361" t="n">
        <f aca="false">-Tax!C41</f>
        <v>2588.82230853202</v>
      </c>
      <c r="E21" s="361" t="n">
        <f aca="false">-Tax!D41</f>
        <v>2100.86435616508</v>
      </c>
      <c r="F21" s="361" t="n">
        <f aca="false">-Tax!E41</f>
        <v>1651.87629039751</v>
      </c>
      <c r="G21" s="361" t="n">
        <f aca="false">-Tax!F41</f>
        <v>1232.56824971089</v>
      </c>
      <c r="H21" s="361" t="n">
        <f aca="false">-Tax!G41</f>
        <v>838.047855807595</v>
      </c>
      <c r="I21" s="361" t="n">
        <f aca="false">-Tax!H41</f>
        <v>600.76406504043</v>
      </c>
      <c r="J21" s="361" t="n">
        <f aca="false">-Tax!I41</f>
        <v>506.884879419925</v>
      </c>
      <c r="K21" s="361" t="n">
        <f aca="false">-Tax!J41</f>
        <v>396.294175183357</v>
      </c>
      <c r="L21" s="361" t="n">
        <f aca="false">-Tax!K41</f>
        <v>286.091601586287</v>
      </c>
      <c r="M21" s="361" t="n">
        <f aca="false">-Tax!L41</f>
        <v>157.874368870561</v>
      </c>
      <c r="N21" s="361" t="n">
        <f aca="false">-Tax!M41</f>
        <v>28.6380930376176</v>
      </c>
      <c r="O21" s="361" t="n">
        <f aca="false">-Tax!N41</f>
        <v>-120.132354182726</v>
      </c>
      <c r="P21" s="361" t="n">
        <f aca="false">-Tax!O41</f>
        <v>-271.562663590316</v>
      </c>
      <c r="Q21" s="361" t="n">
        <f aca="false">-Tax!P41</f>
        <v>-444.298954508828</v>
      </c>
      <c r="R21" s="361" t="n">
        <f aca="false">-Tax!Q41</f>
        <v>-1933.3478692917</v>
      </c>
      <c r="S21" s="361" t="n">
        <f aca="false">-Tax!R41</f>
        <v>-3436.90566002291</v>
      </c>
      <c r="T21" s="361" t="n">
        <f aca="false">-Tax!S41</f>
        <v>-3648.82265901758</v>
      </c>
      <c r="U21" s="361" t="n">
        <f aca="false">-Tax!T41</f>
        <v>-3491.03842933205</v>
      </c>
      <c r="V21" s="361" t="n">
        <f aca="false">-Tax!U41</f>
        <v>-3491.03842933205</v>
      </c>
      <c r="W21" s="361" t="n">
        <f aca="false">-Tax!V41</f>
        <v>-3505.84342933205</v>
      </c>
      <c r="X21" s="361" t="n">
        <f aca="false">-Tax!W41</f>
        <v>-3505.84342933205</v>
      </c>
      <c r="Y21" s="361" t="n">
        <f aca="false">-Tax!X41</f>
        <v>-3505.84342933205</v>
      </c>
      <c r="Z21" s="361" t="n">
        <f aca="false">-Tax!Y41</f>
        <v>-3505.84342933205</v>
      </c>
      <c r="AA21" s="361" t="n">
        <f aca="false">-Tax!Z41</f>
        <v>-3505.84342933205</v>
      </c>
      <c r="AB21" s="361" t="n">
        <f aca="false">-Tax!AA41</f>
        <v>931.542956497816</v>
      </c>
      <c r="AC21" s="361" t="n">
        <f aca="false">-Tax!AB41</f>
        <v>931.542956497816</v>
      </c>
      <c r="AD21" s="361" t="n">
        <f aca="false">-Tax!AC41</f>
        <v>931.542956497816</v>
      </c>
      <c r="AE21" s="361" t="n">
        <f aca="false">-Tax!AD41</f>
        <v>931.542956497816</v>
      </c>
      <c r="AF21" s="361" t="n">
        <f aca="false">-Tax!AE41</f>
        <v>931.542956497816</v>
      </c>
      <c r="AG21" s="361" t="n">
        <f aca="false">-Tax!AF41</f>
        <v>931.542956497816</v>
      </c>
    </row>
    <row r="22" customFormat="false" ht="12.75" hidden="false" customHeight="false" outlineLevel="0" collapsed="false">
      <c r="A22" s="404"/>
      <c r="C22" s="406"/>
      <c r="D22" s="406"/>
      <c r="E22" s="406"/>
      <c r="F22" s="406"/>
      <c r="G22" s="406"/>
      <c r="H22" s="406"/>
      <c r="I22" s="406"/>
      <c r="J22" s="406"/>
      <c r="K22" s="406"/>
      <c r="L22" s="406"/>
      <c r="M22" s="406"/>
      <c r="N22" s="406"/>
      <c r="O22" s="406"/>
      <c r="P22" s="406"/>
      <c r="Q22" s="406"/>
      <c r="R22" s="406"/>
      <c r="S22" s="406"/>
      <c r="T22" s="406"/>
      <c r="U22" s="406"/>
      <c r="V22" s="406"/>
      <c r="W22" s="406"/>
      <c r="X22" s="406"/>
      <c r="Y22" s="406"/>
      <c r="Z22" s="406"/>
      <c r="AA22" s="406"/>
      <c r="AB22" s="406"/>
      <c r="AC22" s="406"/>
      <c r="AD22" s="406"/>
      <c r="AE22" s="406"/>
      <c r="AF22" s="406"/>
      <c r="AG22" s="406"/>
    </row>
    <row r="23" customFormat="false" ht="12.75" hidden="false" customHeight="false" outlineLevel="0" collapsed="false">
      <c r="A23" s="402" t="s">
        <v>322</v>
      </c>
      <c r="B23" s="118"/>
      <c r="C23" s="405" t="n">
        <f aca="false">C18+C21+C20</f>
        <v>7616.20420538235</v>
      </c>
      <c r="D23" s="405" t="n">
        <f aca="false">D18+D21+D20</f>
        <v>9057.0556490759</v>
      </c>
      <c r="E23" s="405" t="n">
        <f aca="false">E18+E21+E20</f>
        <v>4381.27198153232</v>
      </c>
      <c r="F23" s="405" t="n">
        <f aca="false">F18+F21+F20</f>
        <v>3932.28391576475</v>
      </c>
      <c r="G23" s="405" t="n">
        <f aca="false">G18+G21+G20</f>
        <v>3512.97587507813</v>
      </c>
      <c r="H23" s="405" t="n">
        <f aca="false">H18+H21+H20</f>
        <v>3118.45548117483</v>
      </c>
      <c r="I23" s="405" t="n">
        <f aca="false">I18+I21+I20</f>
        <v>2881.17169040767</v>
      </c>
      <c r="J23" s="405" t="n">
        <f aca="false">J18+J21+J20</f>
        <v>2787.29250478716</v>
      </c>
      <c r="K23" s="405" t="n">
        <f aca="false">K18+K21+K20</f>
        <v>2676.7018005506</v>
      </c>
      <c r="L23" s="405" t="n">
        <f aca="false">L18+L21+L20</f>
        <v>2566.49922695353</v>
      </c>
      <c r="M23" s="405" t="n">
        <f aca="false">M18+M21+M20</f>
        <v>2438.2819942378</v>
      </c>
      <c r="N23" s="405" t="n">
        <f aca="false">N18+N21+N20</f>
        <v>2309.04571840486</v>
      </c>
      <c r="O23" s="405" t="n">
        <f aca="false">O18+O21+O20</f>
        <v>2160.27527118451</v>
      </c>
      <c r="P23" s="405" t="n">
        <f aca="false">P18+P21+P20</f>
        <v>2008.84496177692</v>
      </c>
      <c r="Q23" s="405" t="n">
        <f aca="false">Q18+Q21+Q20</f>
        <v>1836.10867085841</v>
      </c>
      <c r="R23" s="405" t="n">
        <f aca="false">R18+R21+R20</f>
        <v>347.05975607554</v>
      </c>
      <c r="S23" s="405" t="n">
        <f aca="false">S18+S21+S20</f>
        <v>-1156.49803465567</v>
      </c>
      <c r="T23" s="405" t="n">
        <f aca="false">T18+T21+T20</f>
        <v>-1368.41503365034</v>
      </c>
      <c r="U23" s="405" t="n">
        <f aca="false">U18+U21+U20</f>
        <v>1960.78313877149</v>
      </c>
      <c r="V23" s="405" t="n">
        <f aca="false">V18+V21+V20</f>
        <v>6528.35708304524</v>
      </c>
      <c r="W23" s="405" t="n">
        <f aca="false">W18+W21+W20</f>
        <v>6510.85208304524</v>
      </c>
      <c r="X23" s="405" t="n">
        <f aca="false">X18+X21+X20</f>
        <v>6510.85208304524</v>
      </c>
      <c r="Y23" s="405" t="n">
        <f aca="false">Y18+Y21+Y20</f>
        <v>6510.85208304524</v>
      </c>
      <c r="Z23" s="405" t="n">
        <f aca="false">Z18+Z21+Z20</f>
        <v>6510.85208304524</v>
      </c>
      <c r="AA23" s="405" t="n">
        <f aca="false">AA18+AA21+AA20</f>
        <v>6510.85208304524</v>
      </c>
      <c r="AB23" s="405" t="n">
        <f aca="false">AB18+AB21+AB20</f>
        <v>-1730.00834778166</v>
      </c>
      <c r="AC23" s="405" t="n">
        <f aca="false">AC18+AC21+AC20</f>
        <v>-1730.00834778166</v>
      </c>
      <c r="AD23" s="405" t="n">
        <f aca="false">AD18+AD21+AD20</f>
        <v>-1730.00834778166</v>
      </c>
      <c r="AE23" s="405" t="n">
        <f aca="false">AE18+AE21+AE20</f>
        <v>-1730.00834778166</v>
      </c>
      <c r="AF23" s="405" t="n">
        <f aca="false">AF18+AF21+AF20</f>
        <v>-1730.00834778166</v>
      </c>
      <c r="AG23" s="405" t="n">
        <f aca="false">AG18+AG21+AG20</f>
        <v>-1730.00834778166</v>
      </c>
      <c r="AH23" s="118"/>
      <c r="AI23" s="118"/>
      <c r="AJ23" s="118"/>
      <c r="AK23" s="118"/>
      <c r="AL23" s="118"/>
      <c r="AM23" s="118"/>
      <c r="AN23" s="118"/>
      <c r="AO23" s="118"/>
      <c r="AP23" s="118"/>
      <c r="AQ23" s="118"/>
      <c r="AR23" s="118"/>
      <c r="AS23" s="118"/>
      <c r="AT23" s="118"/>
      <c r="AU23" s="118"/>
      <c r="AV23" s="118"/>
      <c r="AW23" s="118"/>
      <c r="AX23" s="118"/>
      <c r="AY23" s="118"/>
      <c r="AZ23" s="118"/>
      <c r="BA23" s="118"/>
      <c r="BB23" s="118"/>
      <c r="BC23" s="118"/>
      <c r="BD23" s="118"/>
      <c r="BE23" s="118"/>
      <c r="BF23" s="118"/>
      <c r="BG23" s="118"/>
      <c r="BH23" s="118"/>
      <c r="BI23" s="118"/>
      <c r="BJ23" s="118"/>
      <c r="BK23" s="118"/>
      <c r="BL23" s="118"/>
      <c r="BM23" s="118"/>
      <c r="BN23" s="118"/>
      <c r="BO23" s="118"/>
      <c r="BP23" s="118"/>
      <c r="BQ23" s="118"/>
      <c r="BR23" s="118"/>
      <c r="BS23" s="118"/>
      <c r="BT23" s="118"/>
      <c r="BU23" s="118"/>
      <c r="BV23" s="118"/>
      <c r="BW23" s="118"/>
      <c r="BX23" s="118"/>
      <c r="BY23" s="118"/>
      <c r="BZ23" s="118"/>
      <c r="CA23" s="118"/>
      <c r="CB23" s="118"/>
      <c r="CC23" s="118"/>
      <c r="CD23" s="118"/>
      <c r="CE23" s="118"/>
      <c r="CF23" s="118"/>
      <c r="CG23" s="118"/>
      <c r="CH23" s="118"/>
      <c r="CI23" s="118"/>
      <c r="CJ23" s="118"/>
      <c r="CK23" s="118"/>
      <c r="CL23" s="118"/>
      <c r="CM23" s="118"/>
      <c r="CN23" s="118"/>
      <c r="CO23" s="118"/>
      <c r="CP23" s="118"/>
      <c r="CQ23" s="118"/>
      <c r="CR23" s="118"/>
      <c r="CS23" s="118"/>
      <c r="CT23" s="118"/>
      <c r="CU23" s="118"/>
      <c r="CV23" s="118"/>
      <c r="CW23" s="118"/>
      <c r="CX23" s="118"/>
      <c r="CY23" s="118"/>
      <c r="CZ23" s="118"/>
      <c r="DA23" s="118"/>
      <c r="DB23" s="118"/>
      <c r="DC23" s="118"/>
      <c r="DD23" s="118"/>
      <c r="DE23" s="118"/>
      <c r="DF23" s="118"/>
      <c r="DG23" s="118"/>
      <c r="DH23" s="118"/>
      <c r="DI23" s="118"/>
      <c r="DJ23" s="118"/>
      <c r="DK23" s="118"/>
      <c r="DL23" s="118"/>
      <c r="DM23" s="118"/>
      <c r="DN23" s="118"/>
      <c r="DO23" s="118"/>
      <c r="DP23" s="118"/>
      <c r="DQ23" s="118"/>
      <c r="DR23" s="118"/>
      <c r="DS23" s="118"/>
      <c r="DT23" s="118"/>
      <c r="DU23" s="118"/>
      <c r="DV23" s="118"/>
      <c r="DW23" s="118"/>
      <c r="DX23" s="118"/>
      <c r="DY23" s="118"/>
      <c r="DZ23" s="118"/>
      <c r="EA23" s="118"/>
      <c r="EB23" s="118"/>
      <c r="EC23" s="118"/>
      <c r="ED23" s="118"/>
      <c r="EE23" s="118"/>
      <c r="EF23" s="118"/>
      <c r="EG23" s="118"/>
      <c r="EH23" s="118"/>
      <c r="EI23" s="118"/>
      <c r="EJ23" s="118"/>
      <c r="EK23" s="118"/>
      <c r="EL23" s="118"/>
      <c r="EM23" s="118"/>
      <c r="EN23" s="118"/>
      <c r="EO23" s="118"/>
      <c r="EP23" s="118"/>
      <c r="EQ23" s="118"/>
      <c r="ER23" s="118"/>
      <c r="ES23" s="118"/>
      <c r="ET23" s="118"/>
      <c r="EU23" s="118"/>
      <c r="EV23" s="118"/>
      <c r="EW23" s="118"/>
      <c r="EX23" s="118"/>
      <c r="EY23" s="118"/>
      <c r="EZ23" s="118"/>
      <c r="FA23" s="118"/>
      <c r="FB23" s="118"/>
      <c r="FC23" s="118"/>
      <c r="FD23" s="118"/>
      <c r="FE23" s="118"/>
      <c r="FF23" s="118"/>
      <c r="FG23" s="118"/>
      <c r="FH23" s="118"/>
      <c r="FI23" s="118"/>
      <c r="FJ23" s="118"/>
      <c r="FK23" s="118"/>
      <c r="FL23" s="118"/>
      <c r="FM23" s="118"/>
      <c r="FN23" s="118"/>
      <c r="FO23" s="118"/>
      <c r="FP23" s="118"/>
      <c r="FQ23" s="118"/>
      <c r="FR23" s="118"/>
      <c r="FS23" s="118"/>
      <c r="FT23" s="118"/>
      <c r="FU23" s="118"/>
      <c r="FV23" s="118"/>
      <c r="FW23" s="118"/>
      <c r="FX23" s="118"/>
      <c r="FY23" s="118"/>
      <c r="FZ23" s="118"/>
      <c r="GA23" s="118"/>
      <c r="GB23" s="118"/>
      <c r="GC23" s="118"/>
      <c r="GD23" s="118"/>
      <c r="GE23" s="118"/>
      <c r="GF23" s="118"/>
      <c r="GG23" s="118"/>
      <c r="GH23" s="118"/>
      <c r="GI23" s="118"/>
      <c r="GJ23" s="118"/>
      <c r="GK23" s="118"/>
      <c r="GL23" s="118"/>
      <c r="GM23" s="118"/>
      <c r="GN23" s="118"/>
      <c r="GO23" s="118"/>
      <c r="GP23" s="118"/>
      <c r="GQ23" s="118"/>
      <c r="GR23" s="118"/>
      <c r="GS23" s="118"/>
      <c r="GT23" s="118"/>
      <c r="GU23" s="118"/>
      <c r="GV23" s="118"/>
      <c r="GW23" s="118"/>
      <c r="GX23" s="118"/>
      <c r="GY23" s="118"/>
      <c r="GZ23" s="118"/>
      <c r="HA23" s="118"/>
      <c r="HB23" s="118"/>
      <c r="HC23" s="118"/>
      <c r="HD23" s="118"/>
      <c r="HE23" s="118"/>
      <c r="HF23" s="118"/>
      <c r="HG23" s="118"/>
      <c r="HH23" s="118"/>
      <c r="HI23" s="118"/>
      <c r="HJ23" s="118"/>
      <c r="HK23" s="118"/>
      <c r="HL23" s="118"/>
      <c r="HM23" s="118"/>
      <c r="HN23" s="118"/>
      <c r="HO23" s="118"/>
      <c r="HP23" s="118"/>
      <c r="HQ23" s="118"/>
      <c r="HR23" s="118"/>
      <c r="HS23" s="118"/>
      <c r="HT23" s="118"/>
      <c r="HU23" s="118"/>
      <c r="HV23" s="118"/>
      <c r="HW23" s="118"/>
      <c r="HX23" s="118"/>
      <c r="HY23" s="118"/>
      <c r="HZ23" s="118"/>
      <c r="IA23" s="118"/>
      <c r="IB23" s="118"/>
      <c r="IC23" s="118"/>
      <c r="ID23" s="118"/>
      <c r="IE23" s="118"/>
      <c r="IF23" s="118"/>
      <c r="IG23" s="118"/>
      <c r="IH23" s="118"/>
      <c r="II23" s="118"/>
      <c r="IJ23" s="118"/>
      <c r="IK23" s="118"/>
      <c r="IL23" s="118"/>
      <c r="IM23" s="118"/>
      <c r="IN23" s="118"/>
      <c r="IO23" s="118"/>
      <c r="IP23" s="118"/>
      <c r="IQ23" s="118"/>
      <c r="IR23" s="118"/>
      <c r="IS23" s="118"/>
      <c r="IT23" s="118"/>
      <c r="IU23" s="118"/>
      <c r="IV23" s="118"/>
      <c r="IW23" s="118"/>
    </row>
    <row r="24" customFormat="false" ht="12.75" hidden="false" customHeight="false" outlineLevel="0" collapsed="false">
      <c r="A24" s="404"/>
      <c r="C24" s="334"/>
      <c r="D24" s="406"/>
      <c r="E24" s="406"/>
      <c r="F24" s="406"/>
      <c r="G24" s="406"/>
      <c r="H24" s="406"/>
      <c r="I24" s="406"/>
      <c r="J24" s="406"/>
      <c r="K24" s="406"/>
      <c r="L24" s="406"/>
      <c r="M24" s="406"/>
      <c r="N24" s="406"/>
      <c r="O24" s="406"/>
      <c r="P24" s="406"/>
      <c r="Q24" s="406"/>
      <c r="R24" s="406"/>
      <c r="S24" s="406"/>
      <c r="T24" s="406"/>
      <c r="U24" s="406"/>
      <c r="V24" s="406"/>
      <c r="W24" s="406"/>
      <c r="X24" s="406"/>
      <c r="Y24" s="406"/>
      <c r="Z24" s="406"/>
      <c r="AA24" s="406"/>
      <c r="AB24" s="406"/>
      <c r="AC24" s="406"/>
      <c r="AD24" s="406"/>
      <c r="AE24" s="406"/>
      <c r="AF24" s="406"/>
      <c r="AG24" s="406"/>
    </row>
    <row r="25" customFormat="false" ht="12.75" hidden="false" customHeight="false" outlineLevel="0" collapsed="false">
      <c r="A25" s="407" t="s">
        <v>323</v>
      </c>
      <c r="B25" s="408" t="n">
        <f aca="false">Assumptions!C76</f>
        <v>0</v>
      </c>
      <c r="C25" s="334" t="n">
        <f aca="false">$B$25*IS!D85</f>
        <v>0</v>
      </c>
      <c r="D25" s="334" t="n">
        <f aca="false">$B$25*IS!E85</f>
        <v>-0</v>
      </c>
      <c r="E25" s="334" t="n">
        <f aca="false">$B$25*IS!F85</f>
        <v>-0</v>
      </c>
      <c r="F25" s="334" t="n">
        <f aca="false">$B$25*IS!G85</f>
        <v>-0</v>
      </c>
      <c r="G25" s="334" t="n">
        <f aca="false">$B$25*IS!H85</f>
        <v>-0</v>
      </c>
      <c r="H25" s="334" t="n">
        <f aca="false">$B$25*IS!I85</f>
        <v>-0</v>
      </c>
      <c r="I25" s="334" t="n">
        <f aca="false">$B$25*IS!J85</f>
        <v>-0</v>
      </c>
      <c r="J25" s="334" t="n">
        <f aca="false">$B$25*IS!K85</f>
        <v>-0</v>
      </c>
      <c r="K25" s="334" t="n">
        <f aca="false">$B$25*IS!L85</f>
        <v>0</v>
      </c>
      <c r="L25" s="334" t="n">
        <f aca="false">$B$25*IS!M85</f>
        <v>0</v>
      </c>
      <c r="M25" s="334" t="n">
        <f aca="false">$B$25*IS!N85</f>
        <v>0</v>
      </c>
      <c r="N25" s="334" t="n">
        <f aca="false">$B$25*IS!O85</f>
        <v>0</v>
      </c>
      <c r="O25" s="334" t="n">
        <f aca="false">$B$25*IS!P85</f>
        <v>0</v>
      </c>
      <c r="P25" s="334" t="n">
        <f aca="false">$B$25*IS!Q85</f>
        <v>0</v>
      </c>
      <c r="Q25" s="334" t="n">
        <f aca="false">$B$25*IS!R85</f>
        <v>0</v>
      </c>
      <c r="R25" s="334" t="n">
        <f aca="false">$B$25*IS!S85</f>
        <v>0</v>
      </c>
      <c r="S25" s="334" t="n">
        <f aca="false">$B$25*IS!T85</f>
        <v>0</v>
      </c>
      <c r="T25" s="334" t="n">
        <f aca="false">$B$25*IS!U85</f>
        <v>0</v>
      </c>
      <c r="U25" s="334" t="n">
        <f aca="false">$B$25*IS!V85</f>
        <v>0</v>
      </c>
      <c r="V25" s="334" t="n">
        <f aca="false">$B$25*IS!W85</f>
        <v>0</v>
      </c>
      <c r="W25" s="334" t="n">
        <f aca="false">$B$25*IS!X85</f>
        <v>0</v>
      </c>
      <c r="X25" s="334" t="n">
        <f aca="false">$B$25*IS!Y85</f>
        <v>0</v>
      </c>
      <c r="Y25" s="334" t="n">
        <f aca="false">$B$25*IS!Z85</f>
        <v>0</v>
      </c>
      <c r="Z25" s="334" t="n">
        <f aca="false">$B$25*IS!AA85</f>
        <v>0</v>
      </c>
      <c r="AA25" s="334" t="n">
        <f aca="false">$B$25*IS!AB85</f>
        <v>0</v>
      </c>
      <c r="AB25" s="334" t="n">
        <f aca="false">$B$25*IS!AC85</f>
        <v>-0</v>
      </c>
      <c r="AC25" s="334" t="n">
        <f aca="false">$B$25*IS!AD85</f>
        <v>-0</v>
      </c>
      <c r="AD25" s="334" t="n">
        <f aca="false">$B$25*IS!AE85</f>
        <v>-0</v>
      </c>
      <c r="AE25" s="334" t="n">
        <f aca="false">$B$25*IS!AF85</f>
        <v>-0</v>
      </c>
      <c r="AF25" s="334" t="n">
        <f aca="false">$B$25*IS!AG85</f>
        <v>-0</v>
      </c>
      <c r="AG25" s="334" t="n">
        <f aca="false">$B$25*IS!AH85</f>
        <v>-0</v>
      </c>
    </row>
    <row r="26" customFormat="false" ht="12.75" hidden="false" customHeight="false" outlineLevel="0" collapsed="false">
      <c r="A26" s="407" t="s">
        <v>324</v>
      </c>
      <c r="B26" s="408" t="n">
        <f aca="false">Assumptions!C77</f>
        <v>0</v>
      </c>
      <c r="C26" s="334" t="n">
        <f aca="false">(C23)*$B$26</f>
        <v>0</v>
      </c>
      <c r="D26" s="403" t="n">
        <f aca="false">(D23)*$B$26</f>
        <v>0</v>
      </c>
      <c r="E26" s="403" t="n">
        <f aca="false">(E23)*$B$26</f>
        <v>0</v>
      </c>
      <c r="F26" s="403" t="n">
        <f aca="false">(F23)*$B$26</f>
        <v>0</v>
      </c>
      <c r="G26" s="403" t="n">
        <f aca="false">(G23)*$B$26</f>
        <v>0</v>
      </c>
      <c r="H26" s="403" t="n">
        <f aca="false">(H23)*$B$26</f>
        <v>0</v>
      </c>
      <c r="I26" s="403" t="n">
        <f aca="false">(I23)*$B$26</f>
        <v>0</v>
      </c>
      <c r="J26" s="403" t="n">
        <f aca="false">(J23)*$B$26</f>
        <v>0</v>
      </c>
      <c r="K26" s="403" t="n">
        <f aca="false">(K23)*$B$26</f>
        <v>0</v>
      </c>
      <c r="L26" s="403" t="n">
        <f aca="false">(L23)*$B$26</f>
        <v>0</v>
      </c>
      <c r="M26" s="403" t="n">
        <f aca="false">(M23)*$B$26</f>
        <v>0</v>
      </c>
      <c r="N26" s="403" t="n">
        <f aca="false">(N23)*$B$26</f>
        <v>0</v>
      </c>
      <c r="O26" s="403" t="n">
        <f aca="false">(O23)*$B$26</f>
        <v>0</v>
      </c>
      <c r="P26" s="403" t="n">
        <f aca="false">(P23)*$B$26</f>
        <v>0</v>
      </c>
      <c r="Q26" s="403" t="n">
        <f aca="false">(Q23)*$B$26</f>
        <v>0</v>
      </c>
      <c r="R26" s="403" t="n">
        <f aca="false">(R23)*$B$26</f>
        <v>0</v>
      </c>
      <c r="S26" s="403" t="n">
        <f aca="false">(S23)*$B$26</f>
        <v>-0</v>
      </c>
      <c r="T26" s="403" t="n">
        <f aca="false">(T23)*$B$26</f>
        <v>-0</v>
      </c>
      <c r="U26" s="403" t="n">
        <f aca="false">(U23)*$B$26</f>
        <v>0</v>
      </c>
      <c r="V26" s="403" t="n">
        <f aca="false">(V23)*$B$26</f>
        <v>0</v>
      </c>
      <c r="W26" s="403" t="n">
        <f aca="false">(W23)*$B$26</f>
        <v>0</v>
      </c>
      <c r="X26" s="403" t="n">
        <f aca="false">(X23)*$B$26</f>
        <v>0</v>
      </c>
      <c r="Y26" s="403" t="n">
        <f aca="false">(Y23)*$B$26</f>
        <v>0</v>
      </c>
      <c r="Z26" s="403" t="n">
        <f aca="false">(Z23)*$B$26</f>
        <v>0</v>
      </c>
      <c r="AA26" s="403" t="n">
        <f aca="false">(AA23)*$B$26</f>
        <v>0</v>
      </c>
      <c r="AB26" s="403" t="n">
        <f aca="false">(AB23)*$B$26</f>
        <v>-0</v>
      </c>
      <c r="AC26" s="403" t="n">
        <f aca="false">(AC23)*$B$26</f>
        <v>-0</v>
      </c>
      <c r="AD26" s="403" t="n">
        <f aca="false">(AD23)*$B$26</f>
        <v>-0</v>
      </c>
      <c r="AE26" s="403" t="n">
        <f aca="false">(AE23)*$B$26</f>
        <v>-0</v>
      </c>
      <c r="AF26" s="403" t="n">
        <f aca="false">(AF23)*$B$26</f>
        <v>-0</v>
      </c>
      <c r="AG26" s="403" t="n">
        <f aca="false">(AG23)*$B$26</f>
        <v>-0</v>
      </c>
    </row>
    <row r="27" customFormat="false" ht="12.75" hidden="false" customHeight="false" outlineLevel="0" collapsed="false">
      <c r="A27" s="404"/>
      <c r="C27" s="409"/>
      <c r="D27" s="409"/>
      <c r="E27" s="409"/>
      <c r="F27" s="409"/>
      <c r="G27" s="409"/>
      <c r="H27" s="406"/>
      <c r="I27" s="406"/>
      <c r="J27" s="406"/>
      <c r="K27" s="406"/>
      <c r="L27" s="406"/>
      <c r="M27" s="406"/>
      <c r="N27" s="406"/>
      <c r="O27" s="406"/>
      <c r="P27" s="406"/>
      <c r="Q27" s="406"/>
      <c r="R27" s="406"/>
      <c r="S27" s="406"/>
      <c r="T27" s="406"/>
      <c r="U27" s="406"/>
      <c r="V27" s="406"/>
      <c r="W27" s="406"/>
      <c r="X27" s="406"/>
      <c r="Y27" s="406"/>
      <c r="Z27" s="406"/>
      <c r="AA27" s="406"/>
      <c r="AB27" s="406"/>
      <c r="AC27" s="406"/>
      <c r="AD27" s="406"/>
      <c r="AE27" s="406"/>
      <c r="AF27" s="406"/>
      <c r="AG27" s="406"/>
    </row>
    <row r="28" customFormat="false" ht="12.75" hidden="false" customHeight="false" outlineLevel="0" collapsed="false">
      <c r="A28" s="407" t="s">
        <v>325</v>
      </c>
      <c r="B28" s="408" t="n">
        <f aca="false">Assumptions!C78</f>
        <v>1</v>
      </c>
      <c r="C28" s="334" t="n">
        <f aca="false">$B$28*IS!D85</f>
        <v>1384.24663354559</v>
      </c>
      <c r="D28" s="334" t="n">
        <f aca="false">$B$28*IS!E85</f>
        <v>-1038.04315682348</v>
      </c>
      <c r="E28" s="334" t="n">
        <f aca="false">$B$28*IS!F85</f>
        <v>-921.149296068364</v>
      </c>
      <c r="F28" s="334" t="n">
        <f aca="false">$B$28*IS!G85</f>
        <v>-794.923480165635</v>
      </c>
      <c r="G28" s="334" t="n">
        <f aca="false">$B$28*IS!H85</f>
        <v>-658.620713729609</v>
      </c>
      <c r="H28" s="334" t="n">
        <f aca="false">$B$28*IS!I85</f>
        <v>-511.436526364711</v>
      </c>
      <c r="I28" s="334" t="n">
        <f aca="false">$B$28*IS!J85</f>
        <v>-352.502224613524</v>
      </c>
      <c r="J28" s="334" t="n">
        <f aca="false">$B$28*IS!K85</f>
        <v>-180.879764854904</v>
      </c>
      <c r="K28" s="334" t="n">
        <f aca="false">$B$28*IS!L85</f>
        <v>4.44378310839442</v>
      </c>
      <c r="L28" s="334" t="n">
        <f aca="false">$B$28*IS!M85</f>
        <v>204.562214448962</v>
      </c>
      <c r="M28" s="334" t="n">
        <f aca="false">$B$28*IS!N85</f>
        <v>420.656644985876</v>
      </c>
      <c r="N28" s="334" t="n">
        <f aca="false">$B$28*IS!O85</f>
        <v>654.002482229639</v>
      </c>
      <c r="O28" s="334" t="n">
        <f aca="false">$B$28*IS!P85</f>
        <v>905.976952944614</v>
      </c>
      <c r="P28" s="334" t="n">
        <f aca="false">$B$28*IS!Q85</f>
        <v>1178.06723165726</v>
      </c>
      <c r="Q28" s="334" t="n">
        <f aca="false">$B$28*IS!R85</f>
        <v>1471.87921808532</v>
      </c>
      <c r="R28" s="334" t="n">
        <f aca="false">$B$28*IS!S85</f>
        <v>1789.14701529307</v>
      </c>
      <c r="S28" s="334" t="n">
        <f aca="false">$B$28*IS!T85</f>
        <v>2131.74316451349</v>
      </c>
      <c r="T28" s="334" t="n">
        <f aca="false">$B$28*IS!U85</f>
        <v>2501.68969704419</v>
      </c>
      <c r="U28" s="334" t="n">
        <f aca="false">$B$28*IS!V85</f>
        <v>2615.24493820445</v>
      </c>
      <c r="V28" s="334" t="n">
        <f aca="false">$B$28*IS!W85</f>
        <v>2615.24493820445</v>
      </c>
      <c r="W28" s="334" t="n">
        <f aca="false">$B$28*IS!X85</f>
        <v>2642.73993820445</v>
      </c>
      <c r="X28" s="334" t="n">
        <f aca="false">$B$28*IS!Y85</f>
        <v>2642.73993820445</v>
      </c>
      <c r="Y28" s="334" t="n">
        <f aca="false">$B$28*IS!Z85</f>
        <v>2642.73993820445</v>
      </c>
      <c r="Z28" s="334" t="n">
        <f aca="false">$B$28*IS!AA85</f>
        <v>2642.73993820445</v>
      </c>
      <c r="AA28" s="334" t="n">
        <f aca="false">$B$28*IS!AB85</f>
        <v>2642.73993820445</v>
      </c>
      <c r="AB28" s="334" t="n">
        <f aca="false">$B$28*IS!AC85</f>
        <v>-5494.31999175555</v>
      </c>
      <c r="AC28" s="334" t="n">
        <f aca="false">$B$28*IS!AD85</f>
        <v>-5494.31999175555</v>
      </c>
      <c r="AD28" s="334" t="n">
        <f aca="false">$B$28*IS!AE85</f>
        <v>-5494.31999175555</v>
      </c>
      <c r="AE28" s="334" t="n">
        <f aca="false">$B$28*IS!AF85</f>
        <v>-5494.31999175555</v>
      </c>
      <c r="AF28" s="334" t="n">
        <f aca="false">$B$28*IS!AG85</f>
        <v>-5494.31999175555</v>
      </c>
      <c r="AG28" s="334" t="n">
        <f aca="false">$B$28*IS!AH85</f>
        <v>-1626.20784691476</v>
      </c>
    </row>
    <row r="29" customFormat="false" ht="12.75" hidden="false" customHeight="false" outlineLevel="0" collapsed="false">
      <c r="A29" s="407" t="s">
        <v>326</v>
      </c>
      <c r="B29" s="408" t="n">
        <f aca="false">Assumptions!C79</f>
        <v>1</v>
      </c>
      <c r="C29" s="334" t="n">
        <f aca="false">$B$29*C23</f>
        <v>7616.20420538235</v>
      </c>
      <c r="D29" s="334" t="n">
        <f aca="false">$B$29*D23</f>
        <v>9057.0556490759</v>
      </c>
      <c r="E29" s="334" t="n">
        <f aca="false">$B$29*E23</f>
        <v>4381.27198153232</v>
      </c>
      <c r="F29" s="334" t="n">
        <f aca="false">$B$29*F23</f>
        <v>3932.28391576475</v>
      </c>
      <c r="G29" s="334" t="n">
        <f aca="false">$B$29*G23</f>
        <v>3512.97587507813</v>
      </c>
      <c r="H29" s="334" t="n">
        <f aca="false">$B$29*H23</f>
        <v>3118.45548117483</v>
      </c>
      <c r="I29" s="334" t="n">
        <f aca="false">$B$29*I23</f>
        <v>2881.17169040767</v>
      </c>
      <c r="J29" s="334" t="n">
        <f aca="false">$B$29*J23</f>
        <v>2787.29250478716</v>
      </c>
      <c r="K29" s="334" t="n">
        <f aca="false">$B$29*K23</f>
        <v>2676.7018005506</v>
      </c>
      <c r="L29" s="334" t="n">
        <f aca="false">$B$29*L23</f>
        <v>2566.49922695353</v>
      </c>
      <c r="M29" s="334" t="n">
        <f aca="false">$B$29*M23</f>
        <v>2438.2819942378</v>
      </c>
      <c r="N29" s="334" t="n">
        <f aca="false">$B$29*N23</f>
        <v>2309.04571840486</v>
      </c>
      <c r="O29" s="334" t="n">
        <f aca="false">$B$29*O23</f>
        <v>2160.27527118451</v>
      </c>
      <c r="P29" s="334" t="n">
        <f aca="false">$B$29*P23</f>
        <v>2008.84496177692</v>
      </c>
      <c r="Q29" s="334" t="n">
        <f aca="false">$B$29*Q23</f>
        <v>1836.10867085841</v>
      </c>
      <c r="R29" s="334" t="n">
        <f aca="false">$B$29*R23</f>
        <v>347.05975607554</v>
      </c>
      <c r="S29" s="334" t="n">
        <f aca="false">$B$29*S23</f>
        <v>-1156.49803465567</v>
      </c>
      <c r="T29" s="334" t="n">
        <f aca="false">$B$29*T23</f>
        <v>-1368.41503365034</v>
      </c>
      <c r="U29" s="334" t="n">
        <f aca="false">$B$29*U23</f>
        <v>1960.78313877149</v>
      </c>
      <c r="V29" s="334" t="n">
        <f aca="false">$B$29*V23</f>
        <v>6528.35708304524</v>
      </c>
      <c r="W29" s="334" t="n">
        <f aca="false">$B$29*W23</f>
        <v>6510.85208304524</v>
      </c>
      <c r="X29" s="334" t="n">
        <f aca="false">$B$29*X23</f>
        <v>6510.85208304524</v>
      </c>
      <c r="Y29" s="334" t="n">
        <f aca="false">$B$29*Y23</f>
        <v>6510.85208304524</v>
      </c>
      <c r="Z29" s="334" t="n">
        <f aca="false">$B$29*Z23</f>
        <v>6510.85208304524</v>
      </c>
      <c r="AA29" s="334" t="n">
        <f aca="false">$B$29*AA23</f>
        <v>6510.85208304524</v>
      </c>
      <c r="AB29" s="334" t="n">
        <f aca="false">$B$29*AB23</f>
        <v>-1730.00834778166</v>
      </c>
      <c r="AC29" s="334" t="n">
        <f aca="false">$B$29*AC23</f>
        <v>-1730.00834778166</v>
      </c>
      <c r="AD29" s="334" t="n">
        <f aca="false">$B$29*AD23</f>
        <v>-1730.00834778166</v>
      </c>
      <c r="AE29" s="334" t="n">
        <f aca="false">$B$29*AE23</f>
        <v>-1730.00834778166</v>
      </c>
      <c r="AF29" s="334" t="n">
        <f aca="false">$B$29*AF23</f>
        <v>-1730.00834778166</v>
      </c>
      <c r="AG29" s="334" t="n">
        <f aca="false">$B$29*AG23</f>
        <v>-1730.00834778166</v>
      </c>
    </row>
    <row r="30" customFormat="false" ht="12.75" hidden="false" customHeight="false" outlineLevel="0" collapsed="false">
      <c r="A30" s="404"/>
      <c r="C30" s="409"/>
      <c r="D30" s="409"/>
      <c r="E30" s="409"/>
      <c r="F30" s="409"/>
      <c r="G30" s="409"/>
      <c r="H30" s="406"/>
      <c r="I30" s="406"/>
      <c r="J30" s="406"/>
      <c r="K30" s="406"/>
      <c r="L30" s="406"/>
      <c r="M30" s="406"/>
      <c r="N30" s="406"/>
      <c r="O30" s="406"/>
      <c r="P30" s="406"/>
      <c r="Q30" s="406"/>
      <c r="R30" s="406"/>
      <c r="S30" s="406"/>
      <c r="T30" s="406"/>
      <c r="U30" s="406"/>
      <c r="V30" s="406"/>
      <c r="W30" s="406"/>
      <c r="X30" s="406"/>
      <c r="Y30" s="406"/>
      <c r="Z30" s="406"/>
      <c r="AA30" s="406"/>
      <c r="AB30" s="406"/>
      <c r="AC30" s="406"/>
      <c r="AD30" s="406"/>
      <c r="AE30" s="406"/>
      <c r="AF30" s="406"/>
      <c r="AG30" s="406"/>
    </row>
    <row r="31" customFormat="false" ht="12.75" hidden="false" customHeight="false" outlineLevel="0" collapsed="false">
      <c r="A31" s="410"/>
      <c r="D31" s="343"/>
      <c r="E31" s="343"/>
      <c r="F31" s="343"/>
      <c r="G31" s="343"/>
      <c r="H31" s="343"/>
      <c r="I31" s="343"/>
      <c r="J31" s="343"/>
      <c r="K31" s="343"/>
      <c r="L31" s="343"/>
      <c r="M31" s="343"/>
      <c r="N31" s="343"/>
      <c r="O31" s="343"/>
      <c r="P31" s="343"/>
      <c r="Q31" s="343"/>
      <c r="R31" s="343"/>
      <c r="S31" s="343"/>
      <c r="T31" s="343"/>
      <c r="U31" s="343"/>
      <c r="V31" s="343"/>
      <c r="W31" s="343"/>
      <c r="X31" s="343"/>
      <c r="Y31" s="343"/>
      <c r="Z31" s="343"/>
      <c r="AA31" s="343"/>
      <c r="AB31" s="343"/>
      <c r="AC31" s="343"/>
      <c r="AD31" s="343"/>
      <c r="AE31" s="343"/>
      <c r="AF31" s="343"/>
      <c r="AG31" s="343"/>
    </row>
    <row r="32" customFormat="false" ht="12.75" hidden="false" customHeight="false" outlineLevel="0" collapsed="false">
      <c r="A32" s="410"/>
      <c r="D32" s="343"/>
      <c r="E32" s="343"/>
      <c r="F32" s="343"/>
      <c r="G32" s="343"/>
      <c r="H32" s="343"/>
      <c r="I32" s="343"/>
      <c r="J32" s="343"/>
      <c r="K32" s="343"/>
      <c r="L32" s="343"/>
      <c r="M32" s="343"/>
      <c r="N32" s="343"/>
      <c r="O32" s="343"/>
      <c r="P32" s="343"/>
      <c r="Q32" s="343"/>
      <c r="R32" s="343"/>
      <c r="S32" s="343"/>
      <c r="T32" s="343"/>
      <c r="U32" s="343"/>
      <c r="V32" s="343"/>
      <c r="W32" s="343"/>
      <c r="X32" s="343"/>
      <c r="Y32" s="343"/>
      <c r="Z32" s="343"/>
      <c r="AA32" s="343"/>
      <c r="AB32" s="343"/>
      <c r="AC32" s="343"/>
      <c r="AD32" s="343"/>
      <c r="AE32" s="343"/>
      <c r="AF32" s="343"/>
      <c r="AG32" s="343"/>
    </row>
    <row r="33" customFormat="false" ht="18.75" hidden="false" customHeight="false" outlineLevel="0" collapsed="false">
      <c r="A33" s="6" t="s">
        <v>327</v>
      </c>
      <c r="D33" s="343"/>
      <c r="E33" s="343"/>
      <c r="F33" s="343"/>
      <c r="G33" s="343"/>
      <c r="H33" s="343"/>
      <c r="I33" s="343"/>
      <c r="J33" s="343"/>
      <c r="K33" s="343"/>
      <c r="L33" s="343"/>
      <c r="M33" s="343"/>
      <c r="N33" s="343"/>
      <c r="O33" s="343"/>
      <c r="P33" s="343"/>
      <c r="Q33" s="343"/>
      <c r="R33" s="343"/>
      <c r="S33" s="343"/>
      <c r="T33" s="343"/>
      <c r="U33" s="343"/>
      <c r="V33" s="343"/>
      <c r="W33" s="343"/>
      <c r="X33" s="343"/>
      <c r="Y33" s="343"/>
      <c r="Z33" s="343"/>
      <c r="AA33" s="343"/>
      <c r="AB33" s="343"/>
      <c r="AC33" s="343"/>
      <c r="AD33" s="343"/>
      <c r="AE33" s="343"/>
      <c r="AF33" s="343"/>
      <c r="AG33" s="343"/>
    </row>
    <row r="34" customFormat="false" ht="12.75" hidden="false" customHeight="false" outlineLevel="0" collapsed="false">
      <c r="C34" s="398"/>
      <c r="D34" s="398"/>
      <c r="E34" s="398"/>
      <c r="F34" s="398"/>
      <c r="G34" s="398"/>
      <c r="H34" s="398"/>
      <c r="I34" s="398"/>
      <c r="J34" s="398"/>
      <c r="K34" s="398"/>
      <c r="L34" s="398"/>
      <c r="M34" s="398"/>
      <c r="N34" s="398"/>
      <c r="O34" s="398"/>
      <c r="P34" s="398"/>
      <c r="Q34" s="398"/>
      <c r="R34" s="398"/>
      <c r="S34" s="398"/>
      <c r="T34" s="398"/>
      <c r="U34" s="398"/>
      <c r="V34" s="398"/>
      <c r="W34" s="398"/>
      <c r="X34" s="398"/>
      <c r="Y34" s="398"/>
      <c r="Z34" s="398"/>
      <c r="AA34" s="398"/>
      <c r="AB34" s="398"/>
      <c r="AC34" s="398"/>
      <c r="AD34" s="398"/>
      <c r="AE34" s="398"/>
      <c r="AF34" s="398"/>
      <c r="AG34" s="398"/>
    </row>
    <row r="35" customFormat="false" ht="13.5" hidden="false" customHeight="false" outlineLevel="0" collapsed="false">
      <c r="A35" s="326" t="s">
        <v>247</v>
      </c>
      <c r="B35" s="396"/>
      <c r="C35" s="328" t="n">
        <f aca="false">C9</f>
        <v>2001</v>
      </c>
      <c r="D35" s="328" t="n">
        <f aca="false">D9</f>
        <v>2002</v>
      </c>
      <c r="E35" s="328" t="n">
        <f aca="false">E9</f>
        <v>2003</v>
      </c>
      <c r="F35" s="328" t="n">
        <f aca="false">F9</f>
        <v>2004</v>
      </c>
      <c r="G35" s="328" t="n">
        <f aca="false">G9</f>
        <v>2005</v>
      </c>
      <c r="H35" s="328" t="n">
        <f aca="false">H9</f>
        <v>2006</v>
      </c>
      <c r="I35" s="328" t="n">
        <f aca="false">I9</f>
        <v>2007</v>
      </c>
      <c r="J35" s="328" t="n">
        <f aca="false">J9</f>
        <v>2008</v>
      </c>
      <c r="K35" s="328" t="n">
        <f aca="false">K9</f>
        <v>2009</v>
      </c>
      <c r="L35" s="328" t="n">
        <f aca="false">L9</f>
        <v>2010</v>
      </c>
      <c r="M35" s="328" t="n">
        <f aca="false">M9</f>
        <v>2011</v>
      </c>
      <c r="N35" s="328" t="n">
        <f aca="false">N9</f>
        <v>2012</v>
      </c>
      <c r="O35" s="328" t="n">
        <f aca="false">O9</f>
        <v>2013</v>
      </c>
      <c r="P35" s="328" t="n">
        <f aca="false">P9</f>
        <v>2014</v>
      </c>
      <c r="Q35" s="328" t="n">
        <f aca="false">Q9</f>
        <v>2015</v>
      </c>
      <c r="R35" s="328" t="n">
        <f aca="false">R9</f>
        <v>2016</v>
      </c>
      <c r="S35" s="328" t="n">
        <f aca="false">S9</f>
        <v>2017</v>
      </c>
      <c r="T35" s="328" t="n">
        <f aca="false">T9</f>
        <v>2018</v>
      </c>
      <c r="U35" s="328" t="n">
        <f aca="false">U9</f>
        <v>2019</v>
      </c>
      <c r="V35" s="328" t="n">
        <f aca="false">V9</f>
        <v>2020</v>
      </c>
      <c r="W35" s="328" t="n">
        <f aca="false">W9</f>
        <v>2021</v>
      </c>
      <c r="X35" s="328" t="n">
        <f aca="false">X9</f>
        <v>2022</v>
      </c>
      <c r="Y35" s="328" t="n">
        <f aca="false">Y9</f>
        <v>2023</v>
      </c>
      <c r="Z35" s="328" t="n">
        <f aca="false">Z9</f>
        <v>2024</v>
      </c>
      <c r="AA35" s="328" t="n">
        <f aca="false">AA9</f>
        <v>2025</v>
      </c>
      <c r="AB35" s="328" t="n">
        <f aca="false">AB9</f>
        <v>2026</v>
      </c>
      <c r="AC35" s="328" t="n">
        <f aca="false">AC9</f>
        <v>2027</v>
      </c>
      <c r="AD35" s="328" t="n">
        <f aca="false">AD9</f>
        <v>2028</v>
      </c>
      <c r="AE35" s="328" t="n">
        <f aca="false">AE9</f>
        <v>2029</v>
      </c>
      <c r="AF35" s="328" t="n">
        <f aca="false">AF9</f>
        <v>2030</v>
      </c>
      <c r="AG35" s="328" t="n">
        <f aca="false">AG9</f>
        <v>2031</v>
      </c>
    </row>
    <row r="36" customFormat="false" ht="14.25" hidden="false" customHeight="true" outlineLevel="0" collapsed="false">
      <c r="A36" s="411"/>
      <c r="C36" s="412" t="n">
        <f aca="false">Assumptions!J16</f>
        <v>37256</v>
      </c>
      <c r="D36" s="412" t="n">
        <f aca="false">C36+365.25</f>
        <v>37621.25</v>
      </c>
      <c r="E36" s="412" t="n">
        <f aca="false">D36+365.25</f>
        <v>37986.5</v>
      </c>
      <c r="F36" s="412" t="n">
        <f aca="false">E36+365.25</f>
        <v>38351.75</v>
      </c>
      <c r="G36" s="412" t="n">
        <f aca="false">F36+365.25</f>
        <v>38717</v>
      </c>
      <c r="H36" s="412" t="n">
        <f aca="false">G36+365.25</f>
        <v>39082.25</v>
      </c>
      <c r="I36" s="412" t="n">
        <f aca="false">H36+365.25</f>
        <v>39447.5</v>
      </c>
      <c r="J36" s="412" t="n">
        <f aca="false">I36+365.25</f>
        <v>39812.75</v>
      </c>
      <c r="K36" s="412" t="n">
        <f aca="false">J36+365.25</f>
        <v>40178</v>
      </c>
      <c r="L36" s="412" t="n">
        <f aca="false">K36+365.25</f>
        <v>40543.25</v>
      </c>
      <c r="M36" s="412" t="n">
        <f aca="false">L36+365.25</f>
        <v>40908.5</v>
      </c>
      <c r="N36" s="412" t="n">
        <f aca="false">M36+365.25</f>
        <v>41273.75</v>
      </c>
      <c r="O36" s="412" t="n">
        <f aca="false">N36+365.25</f>
        <v>41639</v>
      </c>
      <c r="P36" s="412" t="n">
        <f aca="false">O36+365.25</f>
        <v>42004.25</v>
      </c>
      <c r="Q36" s="412" t="n">
        <f aca="false">P36+365.25</f>
        <v>42369.5</v>
      </c>
      <c r="R36" s="412" t="n">
        <f aca="false">Q36+365.25</f>
        <v>42734.75</v>
      </c>
      <c r="S36" s="412" t="n">
        <f aca="false">R36+365.25</f>
        <v>43100</v>
      </c>
      <c r="T36" s="412" t="n">
        <f aca="false">S36+365.25</f>
        <v>43465.25</v>
      </c>
      <c r="U36" s="412" t="n">
        <f aca="false">T36+365.25</f>
        <v>43830.5</v>
      </c>
      <c r="V36" s="412" t="n">
        <f aca="false">U36+365.25</f>
        <v>44195.75</v>
      </c>
      <c r="W36" s="412" t="n">
        <f aca="false">V36+365.25</f>
        <v>44561</v>
      </c>
      <c r="X36" s="412" t="n">
        <f aca="false">W36+365.25</f>
        <v>44926.25</v>
      </c>
      <c r="Y36" s="412" t="n">
        <f aca="false">X36+365.25</f>
        <v>45291.5</v>
      </c>
      <c r="Z36" s="412" t="n">
        <f aca="false">Y36+365.25</f>
        <v>45656.75</v>
      </c>
      <c r="AA36" s="412" t="n">
        <f aca="false">Z36+365.25</f>
        <v>46022</v>
      </c>
      <c r="AB36" s="412" t="n">
        <f aca="false">AA36+365.25</f>
        <v>46387.25</v>
      </c>
      <c r="AC36" s="412" t="n">
        <f aca="false">AB36+365.25</f>
        <v>46752.5</v>
      </c>
      <c r="AD36" s="412" t="n">
        <f aca="false">AC36+365.25</f>
        <v>47117.75</v>
      </c>
      <c r="AE36" s="412" t="n">
        <f aca="false">AD36+365.25</f>
        <v>47483</v>
      </c>
      <c r="AF36" s="412" t="n">
        <f aca="false">AE36+365.25</f>
        <v>47848.25</v>
      </c>
      <c r="AG36" s="412" t="n">
        <f aca="false">AF36+365.25</f>
        <v>48213.5</v>
      </c>
    </row>
    <row r="37" customFormat="false" ht="12.75" hidden="false" customHeight="false" outlineLevel="0" collapsed="false">
      <c r="A37" s="410"/>
      <c r="J37" s="413"/>
    </row>
    <row r="38" customFormat="false" ht="12.75" hidden="false" customHeight="false" outlineLevel="0" collapsed="false">
      <c r="A38" s="402" t="s">
        <v>294</v>
      </c>
      <c r="B38" s="118"/>
      <c r="C38" s="405" t="n">
        <f aca="false">$B$26*C18</f>
        <v>0</v>
      </c>
      <c r="D38" s="365" t="n">
        <f aca="false">$B$26*D18</f>
        <v>0</v>
      </c>
      <c r="E38" s="365" t="n">
        <f aca="false">$B$26*E18</f>
        <v>0</v>
      </c>
      <c r="F38" s="365" t="n">
        <f aca="false">$B$26*F18</f>
        <v>0</v>
      </c>
      <c r="G38" s="365" t="n">
        <f aca="false">$B$26*G18</f>
        <v>0</v>
      </c>
      <c r="H38" s="365" t="n">
        <f aca="false">$B$26*H18</f>
        <v>0</v>
      </c>
      <c r="I38" s="365" t="n">
        <f aca="false">$B$26*I18</f>
        <v>0</v>
      </c>
      <c r="J38" s="365" t="n">
        <f aca="false">$B$26*J18</f>
        <v>0</v>
      </c>
      <c r="K38" s="365" t="n">
        <f aca="false">$B$26*K18</f>
        <v>0</v>
      </c>
      <c r="L38" s="365" t="n">
        <f aca="false">$B$26*L18</f>
        <v>0</v>
      </c>
      <c r="M38" s="365" t="n">
        <f aca="false">$B$26*M18</f>
        <v>0</v>
      </c>
      <c r="N38" s="365" t="n">
        <f aca="false">$B$26*N18</f>
        <v>0</v>
      </c>
      <c r="O38" s="365" t="n">
        <f aca="false">$B$26*O18</f>
        <v>0</v>
      </c>
      <c r="P38" s="365" t="n">
        <f aca="false">$B$26*P18</f>
        <v>0</v>
      </c>
      <c r="Q38" s="365" t="n">
        <f aca="false">$B$26*Q18</f>
        <v>0</v>
      </c>
      <c r="R38" s="365" t="n">
        <f aca="false">$B$26*R18</f>
        <v>0</v>
      </c>
      <c r="S38" s="365" t="n">
        <f aca="false">$B$26*S18</f>
        <v>0</v>
      </c>
      <c r="T38" s="365" t="n">
        <f aca="false">$B$26*T18</f>
        <v>0</v>
      </c>
      <c r="U38" s="365" t="n">
        <f aca="false">$B$26*U18</f>
        <v>0</v>
      </c>
      <c r="V38" s="365" t="n">
        <f aca="false">$B$26*V18</f>
        <v>0</v>
      </c>
      <c r="W38" s="365" t="n">
        <f aca="false">$B$26*W18</f>
        <v>0</v>
      </c>
      <c r="X38" s="365" t="n">
        <f aca="false">$B$26*X18</f>
        <v>0</v>
      </c>
      <c r="Y38" s="365" t="n">
        <f aca="false">$B$26*Y18</f>
        <v>0</v>
      </c>
      <c r="Z38" s="365" t="n">
        <f aca="false">$B$26*Z18</f>
        <v>0</v>
      </c>
      <c r="AA38" s="365" t="n">
        <f aca="false">$B$26*AA18</f>
        <v>0</v>
      </c>
      <c r="AB38" s="365" t="n">
        <f aca="false">$B$26*AB18</f>
        <v>-0</v>
      </c>
      <c r="AC38" s="365" t="n">
        <f aca="false">$B$26*AC18</f>
        <v>-0</v>
      </c>
      <c r="AD38" s="365" t="n">
        <f aca="false">$B$26*AD18</f>
        <v>-0</v>
      </c>
      <c r="AE38" s="365" t="n">
        <f aca="false">$B$26*AE18</f>
        <v>-0</v>
      </c>
      <c r="AF38" s="365" t="n">
        <f aca="false">$B$26*AF18</f>
        <v>-0</v>
      </c>
      <c r="AG38" s="365" t="n">
        <f aca="false">$B$26*AG18</f>
        <v>-0</v>
      </c>
      <c r="AH38" s="118"/>
      <c r="AI38" s="118"/>
      <c r="AJ38" s="118"/>
      <c r="AK38" s="118"/>
      <c r="AL38" s="118"/>
      <c r="AM38" s="118"/>
      <c r="AN38" s="118"/>
      <c r="AO38" s="118"/>
      <c r="AP38" s="118"/>
      <c r="AQ38" s="118"/>
      <c r="AR38" s="118"/>
      <c r="AS38" s="118"/>
      <c r="AT38" s="118"/>
      <c r="AU38" s="118"/>
      <c r="AV38" s="118"/>
      <c r="AW38" s="118"/>
      <c r="AX38" s="118"/>
      <c r="AY38" s="118"/>
      <c r="AZ38" s="118"/>
      <c r="BA38" s="118"/>
      <c r="BB38" s="118"/>
      <c r="BC38" s="118"/>
      <c r="BD38" s="118"/>
      <c r="BE38" s="118"/>
      <c r="BF38" s="118"/>
      <c r="BG38" s="118"/>
      <c r="BH38" s="118"/>
      <c r="BI38" s="118"/>
      <c r="BJ38" s="118"/>
      <c r="BK38" s="118"/>
      <c r="BL38" s="118"/>
      <c r="BM38" s="118"/>
      <c r="BN38" s="118"/>
      <c r="BO38" s="118"/>
      <c r="BP38" s="118"/>
      <c r="BQ38" s="118"/>
      <c r="BR38" s="118"/>
      <c r="BS38" s="118"/>
      <c r="BT38" s="118"/>
      <c r="BU38" s="118"/>
      <c r="BV38" s="118"/>
      <c r="BW38" s="118"/>
      <c r="BX38" s="118"/>
      <c r="BY38" s="118"/>
      <c r="BZ38" s="118"/>
      <c r="CA38" s="118"/>
      <c r="CB38" s="118"/>
      <c r="CC38" s="118"/>
      <c r="CD38" s="118"/>
      <c r="CE38" s="118"/>
      <c r="CF38" s="118"/>
      <c r="CG38" s="118"/>
      <c r="CH38" s="118"/>
      <c r="CI38" s="118"/>
      <c r="CJ38" s="118"/>
      <c r="CK38" s="118"/>
      <c r="CL38" s="118"/>
      <c r="CM38" s="118"/>
      <c r="CN38" s="118"/>
      <c r="CO38" s="118"/>
      <c r="CP38" s="118"/>
      <c r="CQ38" s="118"/>
      <c r="CR38" s="118"/>
      <c r="CS38" s="118"/>
      <c r="CT38" s="118"/>
      <c r="CU38" s="118"/>
      <c r="CV38" s="118"/>
      <c r="CW38" s="118"/>
      <c r="CX38" s="118"/>
      <c r="CY38" s="118"/>
      <c r="CZ38" s="118"/>
      <c r="DA38" s="118"/>
      <c r="DB38" s="118"/>
      <c r="DC38" s="118"/>
      <c r="DD38" s="118"/>
      <c r="DE38" s="118"/>
      <c r="DF38" s="118"/>
      <c r="DG38" s="118"/>
      <c r="DH38" s="118"/>
      <c r="DI38" s="118"/>
      <c r="DJ38" s="118"/>
      <c r="DK38" s="118"/>
      <c r="DL38" s="118"/>
      <c r="DM38" s="118"/>
      <c r="DN38" s="118"/>
      <c r="DO38" s="118"/>
      <c r="DP38" s="118"/>
      <c r="DQ38" s="118"/>
      <c r="DR38" s="118"/>
      <c r="DS38" s="118"/>
      <c r="DT38" s="118"/>
      <c r="DU38" s="118"/>
      <c r="DV38" s="118"/>
      <c r="DW38" s="118"/>
      <c r="DX38" s="118"/>
      <c r="DY38" s="118"/>
      <c r="DZ38" s="118"/>
      <c r="EA38" s="118"/>
      <c r="EB38" s="118"/>
      <c r="EC38" s="118"/>
      <c r="ED38" s="118"/>
      <c r="EE38" s="118"/>
      <c r="EF38" s="118"/>
      <c r="EG38" s="118"/>
      <c r="EH38" s="118"/>
      <c r="EI38" s="118"/>
      <c r="EJ38" s="118"/>
      <c r="EK38" s="118"/>
      <c r="EL38" s="118"/>
      <c r="EM38" s="118"/>
      <c r="EN38" s="118"/>
      <c r="EO38" s="118"/>
      <c r="EP38" s="118"/>
      <c r="EQ38" s="118"/>
      <c r="ER38" s="118"/>
      <c r="ES38" s="118"/>
      <c r="ET38" s="118"/>
      <c r="EU38" s="118"/>
      <c r="EV38" s="118"/>
      <c r="EW38" s="118"/>
      <c r="EX38" s="118"/>
      <c r="EY38" s="118"/>
      <c r="EZ38" s="118"/>
      <c r="FA38" s="118"/>
      <c r="FB38" s="118"/>
      <c r="FC38" s="118"/>
      <c r="FD38" s="118"/>
      <c r="FE38" s="118"/>
      <c r="FF38" s="118"/>
      <c r="FG38" s="118"/>
      <c r="FH38" s="118"/>
      <c r="FI38" s="118"/>
      <c r="FJ38" s="118"/>
      <c r="FK38" s="118"/>
      <c r="FL38" s="118"/>
      <c r="FM38" s="118"/>
      <c r="FN38" s="118"/>
      <c r="FO38" s="118"/>
      <c r="FP38" s="118"/>
      <c r="FQ38" s="118"/>
      <c r="FR38" s="118"/>
      <c r="FS38" s="118"/>
      <c r="FT38" s="118"/>
      <c r="FU38" s="118"/>
      <c r="FV38" s="118"/>
      <c r="FW38" s="118"/>
      <c r="FX38" s="118"/>
      <c r="FY38" s="118"/>
      <c r="FZ38" s="118"/>
      <c r="GA38" s="118"/>
      <c r="GB38" s="118"/>
      <c r="GC38" s="118"/>
      <c r="GD38" s="118"/>
      <c r="GE38" s="118"/>
      <c r="GF38" s="118"/>
      <c r="GG38" s="118"/>
      <c r="GH38" s="118"/>
      <c r="GI38" s="118"/>
      <c r="GJ38" s="118"/>
      <c r="GK38" s="118"/>
      <c r="GL38" s="118"/>
      <c r="GM38" s="118"/>
      <c r="GN38" s="118"/>
      <c r="GO38" s="118"/>
      <c r="GP38" s="118"/>
      <c r="GQ38" s="118"/>
      <c r="GR38" s="118"/>
      <c r="GS38" s="118"/>
      <c r="GT38" s="118"/>
      <c r="GU38" s="118"/>
      <c r="GV38" s="118"/>
      <c r="GW38" s="118"/>
      <c r="GX38" s="118"/>
      <c r="GY38" s="118"/>
      <c r="GZ38" s="118"/>
      <c r="HA38" s="118"/>
      <c r="HB38" s="118"/>
      <c r="HC38" s="118"/>
      <c r="HD38" s="118"/>
      <c r="HE38" s="118"/>
      <c r="HF38" s="118"/>
      <c r="HG38" s="118"/>
      <c r="HH38" s="118"/>
      <c r="HI38" s="118"/>
      <c r="HJ38" s="118"/>
      <c r="HK38" s="118"/>
      <c r="HL38" s="118"/>
      <c r="HM38" s="118"/>
      <c r="HN38" s="118"/>
      <c r="HO38" s="118"/>
      <c r="HP38" s="118"/>
      <c r="HQ38" s="118"/>
      <c r="HR38" s="118"/>
      <c r="HS38" s="118"/>
      <c r="HT38" s="118"/>
      <c r="HU38" s="118"/>
      <c r="HV38" s="118"/>
      <c r="HW38" s="118"/>
      <c r="HX38" s="118"/>
      <c r="HY38" s="118"/>
      <c r="HZ38" s="118"/>
      <c r="IA38" s="118"/>
      <c r="IB38" s="118"/>
      <c r="IC38" s="118"/>
      <c r="ID38" s="118"/>
      <c r="IE38" s="118"/>
      <c r="IF38" s="118"/>
      <c r="IG38" s="118"/>
      <c r="IH38" s="118"/>
      <c r="II38" s="118"/>
      <c r="IJ38" s="118"/>
      <c r="IK38" s="118"/>
      <c r="IL38" s="118"/>
      <c r="IM38" s="118"/>
      <c r="IN38" s="118"/>
      <c r="IO38" s="118"/>
      <c r="IP38" s="118"/>
      <c r="IQ38" s="118"/>
      <c r="IR38" s="118"/>
      <c r="IS38" s="118"/>
      <c r="IT38" s="118"/>
      <c r="IU38" s="118"/>
      <c r="IV38" s="118"/>
      <c r="IW38" s="118"/>
    </row>
    <row r="39" customFormat="false" ht="12.75" hidden="false" customHeight="false" outlineLevel="0" collapsed="false">
      <c r="A39" s="402"/>
      <c r="C39" s="343"/>
      <c r="D39" s="343"/>
      <c r="E39" s="343"/>
      <c r="F39" s="343"/>
      <c r="G39" s="343"/>
      <c r="H39" s="343"/>
      <c r="I39" s="343"/>
      <c r="J39" s="343"/>
      <c r="K39" s="343"/>
      <c r="L39" s="343"/>
      <c r="M39" s="343"/>
      <c r="N39" s="343"/>
      <c r="O39" s="343"/>
      <c r="P39" s="343"/>
      <c r="Q39" s="343"/>
      <c r="R39" s="343"/>
      <c r="S39" s="343"/>
      <c r="T39" s="343"/>
      <c r="U39" s="343"/>
      <c r="V39" s="343"/>
      <c r="W39" s="343"/>
      <c r="X39" s="343"/>
      <c r="Y39" s="343"/>
      <c r="Z39" s="343"/>
      <c r="AA39" s="343"/>
      <c r="AB39" s="343"/>
      <c r="AC39" s="343"/>
      <c r="AD39" s="343"/>
      <c r="AE39" s="343"/>
      <c r="AF39" s="343"/>
      <c r="AG39" s="343"/>
    </row>
    <row r="40" customFormat="false" ht="12.75" hidden="false" customHeight="false" outlineLevel="0" collapsed="false">
      <c r="A40" s="404" t="s">
        <v>328</v>
      </c>
      <c r="C40" s="414" t="n">
        <f aca="false">$B$26*C20</f>
        <v>-0</v>
      </c>
      <c r="D40" s="414" t="n">
        <f aca="false">$B$26*D20</f>
        <v>-0</v>
      </c>
      <c r="E40" s="414" t="n">
        <f aca="false">$B$26*E20</f>
        <v>-0</v>
      </c>
      <c r="F40" s="414" t="n">
        <f aca="false">$B$26*F20</f>
        <v>-0</v>
      </c>
      <c r="G40" s="414" t="n">
        <f aca="false">$B$26*G20</f>
        <v>-0</v>
      </c>
      <c r="H40" s="414" t="n">
        <f aca="false">$B$26*H20</f>
        <v>-0</v>
      </c>
      <c r="I40" s="414" t="n">
        <f aca="false">$B$26*I20</f>
        <v>-0</v>
      </c>
      <c r="J40" s="414" t="n">
        <f aca="false">$B$26*J20</f>
        <v>-0</v>
      </c>
      <c r="K40" s="414" t="n">
        <f aca="false">$B$26*K20</f>
        <v>-0</v>
      </c>
      <c r="L40" s="414" t="n">
        <f aca="false">$B$26*L20</f>
        <v>-0</v>
      </c>
      <c r="M40" s="414" t="n">
        <f aca="false">$B$26*M20</f>
        <v>-0</v>
      </c>
      <c r="N40" s="414" t="n">
        <f aca="false">$B$26*N20</f>
        <v>-0</v>
      </c>
      <c r="O40" s="414" t="n">
        <f aca="false">$B$26*O20</f>
        <v>-0</v>
      </c>
      <c r="P40" s="414" t="n">
        <f aca="false">$B$26*P20</f>
        <v>-0</v>
      </c>
      <c r="Q40" s="414" t="n">
        <f aca="false">$B$26*Q20</f>
        <v>-0</v>
      </c>
      <c r="R40" s="414" t="n">
        <f aca="false">$B$26*R20</f>
        <v>-0</v>
      </c>
      <c r="S40" s="414" t="n">
        <f aca="false">$B$26*S20</f>
        <v>-0</v>
      </c>
      <c r="T40" s="414" t="n">
        <f aca="false">$B$26*T20</f>
        <v>-0</v>
      </c>
      <c r="U40" s="414" t="n">
        <f aca="false">$B$26*U20</f>
        <v>-0</v>
      </c>
      <c r="V40" s="414" t="n">
        <f aca="false">$B$26*V20</f>
        <v>-0</v>
      </c>
      <c r="W40" s="414" t="n">
        <f aca="false">$B$26*W20</f>
        <v>-0</v>
      </c>
      <c r="X40" s="414" t="n">
        <f aca="false">$B$26*X20</f>
        <v>-0</v>
      </c>
      <c r="Y40" s="414" t="n">
        <f aca="false">$B$26*Y20</f>
        <v>-0</v>
      </c>
      <c r="Z40" s="414" t="n">
        <f aca="false">$B$26*Z20</f>
        <v>-0</v>
      </c>
      <c r="AA40" s="414" t="n">
        <f aca="false">$B$26*AA20</f>
        <v>-0</v>
      </c>
      <c r="AB40" s="414" t="n">
        <f aca="false">$B$26*AB20</f>
        <v>-0</v>
      </c>
      <c r="AC40" s="414" t="n">
        <f aca="false">$B$26*AC20</f>
        <v>-0</v>
      </c>
      <c r="AD40" s="414" t="n">
        <f aca="false">$B$26*AD20</f>
        <v>-0</v>
      </c>
      <c r="AE40" s="414" t="n">
        <f aca="false">$B$26*AE20</f>
        <v>-0</v>
      </c>
      <c r="AF40" s="414" t="n">
        <f aca="false">$B$26*AF20</f>
        <v>-0</v>
      </c>
      <c r="AG40" s="414" t="n">
        <f aca="false">$B$26*AG20</f>
        <v>-0</v>
      </c>
    </row>
    <row r="41" customFormat="false" ht="12.75" hidden="false" customHeight="false" outlineLevel="0" collapsed="false">
      <c r="A41" s="404" t="s">
        <v>329</v>
      </c>
      <c r="C41" s="415" t="n">
        <f aca="false">$B$26*C21</f>
        <v>0</v>
      </c>
      <c r="D41" s="415" t="n">
        <f aca="false">$B$26*D21</f>
        <v>0</v>
      </c>
      <c r="E41" s="415" t="n">
        <f aca="false">$B$26*E21</f>
        <v>0</v>
      </c>
      <c r="F41" s="415" t="n">
        <f aca="false">$B$26*F21</f>
        <v>0</v>
      </c>
      <c r="G41" s="415" t="n">
        <f aca="false">$B$26*G21</f>
        <v>0</v>
      </c>
      <c r="H41" s="415" t="n">
        <f aca="false">$B$26*H21</f>
        <v>0</v>
      </c>
      <c r="I41" s="415" t="n">
        <f aca="false">$B$26*I21</f>
        <v>0</v>
      </c>
      <c r="J41" s="415" t="n">
        <f aca="false">$B$26*J21</f>
        <v>0</v>
      </c>
      <c r="K41" s="415" t="n">
        <f aca="false">$B$26*K21</f>
        <v>0</v>
      </c>
      <c r="L41" s="415" t="n">
        <f aca="false">$B$26*L21</f>
        <v>0</v>
      </c>
      <c r="M41" s="415" t="n">
        <f aca="false">$B$26*M21</f>
        <v>0</v>
      </c>
      <c r="N41" s="415" t="n">
        <f aca="false">$B$26*N21</f>
        <v>0</v>
      </c>
      <c r="O41" s="415" t="n">
        <f aca="false">$B$26*O21</f>
        <v>-0</v>
      </c>
      <c r="P41" s="415" t="n">
        <f aca="false">$B$26*P21</f>
        <v>-0</v>
      </c>
      <c r="Q41" s="415" t="n">
        <f aca="false">$B$26*Q21</f>
        <v>-0</v>
      </c>
      <c r="R41" s="415" t="n">
        <f aca="false">$B$26*R21</f>
        <v>-0</v>
      </c>
      <c r="S41" s="415" t="n">
        <f aca="false">$B$26*S21</f>
        <v>-0</v>
      </c>
      <c r="T41" s="415" t="n">
        <f aca="false">$B$26*T21</f>
        <v>-0</v>
      </c>
      <c r="U41" s="415" t="n">
        <f aca="false">$B$26*U21</f>
        <v>-0</v>
      </c>
      <c r="V41" s="415" t="n">
        <f aca="false">$B$26*V21</f>
        <v>-0</v>
      </c>
      <c r="W41" s="415" t="n">
        <f aca="false">$B$26*W21</f>
        <v>-0</v>
      </c>
      <c r="X41" s="415" t="n">
        <f aca="false">$B$26*X21</f>
        <v>-0</v>
      </c>
      <c r="Y41" s="415" t="n">
        <f aca="false">$B$26*Y21</f>
        <v>-0</v>
      </c>
      <c r="Z41" s="415" t="n">
        <f aca="false">$B$26*Z21</f>
        <v>-0</v>
      </c>
      <c r="AA41" s="415" t="n">
        <f aca="false">$B$26*AA21</f>
        <v>-0</v>
      </c>
      <c r="AB41" s="415" t="n">
        <f aca="false">$B$26*AB21</f>
        <v>0</v>
      </c>
      <c r="AC41" s="415" t="n">
        <f aca="false">$B$26*AC21</f>
        <v>0</v>
      </c>
      <c r="AD41" s="415" t="n">
        <f aca="false">$B$26*AD21</f>
        <v>0</v>
      </c>
      <c r="AE41" s="415" t="n">
        <f aca="false">$B$26*AE21</f>
        <v>0</v>
      </c>
      <c r="AF41" s="415" t="n">
        <f aca="false">$B$26*AF21</f>
        <v>0</v>
      </c>
      <c r="AG41" s="415" t="n">
        <f aca="false">$B$26*AG21</f>
        <v>0</v>
      </c>
    </row>
    <row r="42" customFormat="false" ht="12.75" hidden="false" customHeight="false" outlineLevel="0" collapsed="false">
      <c r="A42" s="404"/>
      <c r="C42" s="343"/>
      <c r="D42" s="343"/>
      <c r="E42" s="343"/>
      <c r="F42" s="343"/>
      <c r="G42" s="343"/>
      <c r="H42" s="343"/>
      <c r="I42" s="343"/>
      <c r="J42" s="343"/>
      <c r="K42" s="343"/>
      <c r="L42" s="343"/>
      <c r="M42" s="343"/>
      <c r="N42" s="343"/>
      <c r="O42" s="343"/>
      <c r="P42" s="343"/>
      <c r="Q42" s="343"/>
      <c r="R42" s="343"/>
      <c r="S42" s="343"/>
      <c r="T42" s="343"/>
      <c r="U42" s="343"/>
      <c r="V42" s="343"/>
      <c r="W42" s="343"/>
      <c r="X42" s="343"/>
      <c r="Y42" s="343"/>
      <c r="Z42" s="343"/>
      <c r="AA42" s="343"/>
      <c r="AB42" s="343"/>
      <c r="AC42" s="343"/>
      <c r="AD42" s="343"/>
      <c r="AE42" s="343"/>
      <c r="AF42" s="343"/>
      <c r="AG42" s="343"/>
    </row>
    <row r="43" customFormat="false" ht="12.75" hidden="false" customHeight="false" outlineLevel="0" collapsed="false">
      <c r="A43" s="402" t="s">
        <v>322</v>
      </c>
      <c r="B43" s="118"/>
      <c r="C43" s="405" t="n">
        <f aca="false">$B$26*C23</f>
        <v>0</v>
      </c>
      <c r="D43" s="365" t="n">
        <f aca="false">$B$26*D23</f>
        <v>0</v>
      </c>
      <c r="E43" s="365" t="n">
        <f aca="false">$B$26*E23</f>
        <v>0</v>
      </c>
      <c r="F43" s="365" t="n">
        <f aca="false">$B$26*F23</f>
        <v>0</v>
      </c>
      <c r="G43" s="365" t="n">
        <f aca="false">$B$26*G23</f>
        <v>0</v>
      </c>
      <c r="H43" s="365" t="n">
        <f aca="false">$B$26*H23</f>
        <v>0</v>
      </c>
      <c r="I43" s="365" t="n">
        <f aca="false">$B$26*I23</f>
        <v>0</v>
      </c>
      <c r="J43" s="365" t="n">
        <f aca="false">$B$26*J23</f>
        <v>0</v>
      </c>
      <c r="K43" s="365" t="n">
        <f aca="false">$B$26*K23</f>
        <v>0</v>
      </c>
      <c r="L43" s="365" t="n">
        <f aca="false">$B$26*L23</f>
        <v>0</v>
      </c>
      <c r="M43" s="365" t="n">
        <f aca="false">$B$26*M23</f>
        <v>0</v>
      </c>
      <c r="N43" s="365" t="n">
        <f aca="false">$B$26*N23</f>
        <v>0</v>
      </c>
      <c r="O43" s="365" t="n">
        <f aca="false">$B$26*O23</f>
        <v>0</v>
      </c>
      <c r="P43" s="365" t="n">
        <f aca="false">$B$26*P23</f>
        <v>0</v>
      </c>
      <c r="Q43" s="365" t="n">
        <f aca="false">$B$26*Q23</f>
        <v>0</v>
      </c>
      <c r="R43" s="365" t="n">
        <f aca="false">$B$26*R23</f>
        <v>0</v>
      </c>
      <c r="S43" s="365" t="n">
        <f aca="false">$B$26*S23</f>
        <v>-0</v>
      </c>
      <c r="T43" s="365" t="n">
        <f aca="false">$B$26*T23</f>
        <v>-0</v>
      </c>
      <c r="U43" s="365" t="n">
        <f aca="false">$B$26*U23</f>
        <v>0</v>
      </c>
      <c r="V43" s="365" t="n">
        <f aca="false">$B$26*V23</f>
        <v>0</v>
      </c>
      <c r="W43" s="365" t="n">
        <f aca="false">$B$26*W23</f>
        <v>0</v>
      </c>
      <c r="X43" s="365" t="n">
        <f aca="false">$B$26*X23</f>
        <v>0</v>
      </c>
      <c r="Y43" s="365" t="n">
        <f aca="false">$B$26*Y23</f>
        <v>0</v>
      </c>
      <c r="Z43" s="365" t="n">
        <f aca="false">$B$26*Z23</f>
        <v>0</v>
      </c>
      <c r="AA43" s="365" t="n">
        <f aca="false">$B$26*AA23</f>
        <v>0</v>
      </c>
      <c r="AB43" s="365" t="n">
        <f aca="false">$B$26*AB23</f>
        <v>-0</v>
      </c>
      <c r="AC43" s="365" t="n">
        <f aca="false">$B$26*AC23</f>
        <v>-0</v>
      </c>
      <c r="AD43" s="365" t="n">
        <f aca="false">$B$26*AD23</f>
        <v>-0</v>
      </c>
      <c r="AE43" s="365" t="n">
        <f aca="false">$B$26*AE23</f>
        <v>-0</v>
      </c>
      <c r="AF43" s="365" t="n">
        <f aca="false">$B$26*AF23</f>
        <v>-0</v>
      </c>
      <c r="AG43" s="365" t="n">
        <f aca="false">$B$26*AG23</f>
        <v>-0</v>
      </c>
      <c r="AH43" s="118"/>
      <c r="AI43" s="118"/>
      <c r="AJ43" s="118"/>
      <c r="AK43" s="118"/>
      <c r="AL43" s="118"/>
      <c r="AM43" s="118"/>
      <c r="AN43" s="118"/>
      <c r="AO43" s="118"/>
      <c r="AP43" s="118"/>
      <c r="AQ43" s="118"/>
      <c r="AR43" s="118"/>
      <c r="AS43" s="118"/>
      <c r="AT43" s="118"/>
      <c r="AU43" s="118"/>
      <c r="AV43" s="118"/>
      <c r="AW43" s="118"/>
      <c r="AX43" s="118"/>
      <c r="AY43" s="118"/>
      <c r="AZ43" s="118"/>
      <c r="BA43" s="118"/>
      <c r="BB43" s="118"/>
      <c r="BC43" s="118"/>
      <c r="BD43" s="118"/>
      <c r="BE43" s="118"/>
      <c r="BF43" s="118"/>
      <c r="BG43" s="118"/>
      <c r="BH43" s="118"/>
      <c r="BI43" s="118"/>
      <c r="BJ43" s="118"/>
      <c r="BK43" s="118"/>
      <c r="BL43" s="118"/>
      <c r="BM43" s="118"/>
      <c r="BN43" s="118"/>
      <c r="BO43" s="118"/>
      <c r="BP43" s="118"/>
      <c r="BQ43" s="118"/>
      <c r="BR43" s="118"/>
      <c r="BS43" s="118"/>
      <c r="BT43" s="118"/>
      <c r="BU43" s="118"/>
      <c r="BV43" s="118"/>
      <c r="BW43" s="118"/>
      <c r="BX43" s="118"/>
      <c r="BY43" s="118"/>
      <c r="BZ43" s="118"/>
      <c r="CA43" s="118"/>
      <c r="CB43" s="118"/>
      <c r="CC43" s="118"/>
      <c r="CD43" s="118"/>
      <c r="CE43" s="118"/>
      <c r="CF43" s="118"/>
      <c r="CG43" s="118"/>
      <c r="CH43" s="118"/>
      <c r="CI43" s="118"/>
      <c r="CJ43" s="118"/>
      <c r="CK43" s="118"/>
      <c r="CL43" s="118"/>
      <c r="CM43" s="118"/>
      <c r="CN43" s="118"/>
      <c r="CO43" s="118"/>
      <c r="CP43" s="118"/>
      <c r="CQ43" s="118"/>
      <c r="CR43" s="118"/>
      <c r="CS43" s="118"/>
      <c r="CT43" s="118"/>
      <c r="CU43" s="118"/>
      <c r="CV43" s="118"/>
      <c r="CW43" s="118"/>
      <c r="CX43" s="118"/>
      <c r="CY43" s="118"/>
      <c r="CZ43" s="118"/>
      <c r="DA43" s="118"/>
      <c r="DB43" s="118"/>
      <c r="DC43" s="118"/>
      <c r="DD43" s="118"/>
      <c r="DE43" s="118"/>
      <c r="DF43" s="118"/>
      <c r="DG43" s="118"/>
      <c r="DH43" s="118"/>
      <c r="DI43" s="118"/>
      <c r="DJ43" s="118"/>
      <c r="DK43" s="118"/>
      <c r="DL43" s="118"/>
      <c r="DM43" s="118"/>
      <c r="DN43" s="118"/>
      <c r="DO43" s="118"/>
      <c r="DP43" s="118"/>
      <c r="DQ43" s="118"/>
      <c r="DR43" s="118"/>
      <c r="DS43" s="118"/>
      <c r="DT43" s="118"/>
      <c r="DU43" s="118"/>
      <c r="DV43" s="118"/>
      <c r="DW43" s="118"/>
      <c r="DX43" s="118"/>
      <c r="DY43" s="118"/>
      <c r="DZ43" s="118"/>
      <c r="EA43" s="118"/>
      <c r="EB43" s="118"/>
      <c r="EC43" s="118"/>
      <c r="ED43" s="118"/>
      <c r="EE43" s="118"/>
      <c r="EF43" s="118"/>
      <c r="EG43" s="118"/>
      <c r="EH43" s="118"/>
      <c r="EI43" s="118"/>
      <c r="EJ43" s="118"/>
      <c r="EK43" s="118"/>
      <c r="EL43" s="118"/>
      <c r="EM43" s="118"/>
      <c r="EN43" s="118"/>
      <c r="EO43" s="118"/>
      <c r="EP43" s="118"/>
      <c r="EQ43" s="118"/>
      <c r="ER43" s="118"/>
      <c r="ES43" s="118"/>
      <c r="ET43" s="118"/>
      <c r="EU43" s="118"/>
      <c r="EV43" s="118"/>
      <c r="EW43" s="118"/>
      <c r="EX43" s="118"/>
      <c r="EY43" s="118"/>
      <c r="EZ43" s="118"/>
      <c r="FA43" s="118"/>
      <c r="FB43" s="118"/>
      <c r="FC43" s="118"/>
      <c r="FD43" s="118"/>
      <c r="FE43" s="118"/>
      <c r="FF43" s="118"/>
      <c r="FG43" s="118"/>
      <c r="FH43" s="118"/>
      <c r="FI43" s="118"/>
      <c r="FJ43" s="118"/>
      <c r="FK43" s="118"/>
      <c r="FL43" s="118"/>
      <c r="FM43" s="118"/>
      <c r="FN43" s="118"/>
      <c r="FO43" s="118"/>
      <c r="FP43" s="118"/>
      <c r="FQ43" s="118"/>
      <c r="FR43" s="118"/>
      <c r="FS43" s="118"/>
      <c r="FT43" s="118"/>
      <c r="FU43" s="118"/>
      <c r="FV43" s="118"/>
      <c r="FW43" s="118"/>
      <c r="FX43" s="118"/>
      <c r="FY43" s="118"/>
      <c r="FZ43" s="118"/>
      <c r="GA43" s="118"/>
      <c r="GB43" s="118"/>
      <c r="GC43" s="118"/>
      <c r="GD43" s="118"/>
      <c r="GE43" s="118"/>
      <c r="GF43" s="118"/>
      <c r="GG43" s="118"/>
      <c r="GH43" s="118"/>
      <c r="GI43" s="118"/>
      <c r="GJ43" s="118"/>
      <c r="GK43" s="118"/>
      <c r="GL43" s="118"/>
      <c r="GM43" s="118"/>
      <c r="GN43" s="118"/>
      <c r="GO43" s="118"/>
      <c r="GP43" s="118"/>
      <c r="GQ43" s="118"/>
      <c r="GR43" s="118"/>
      <c r="GS43" s="118"/>
      <c r="GT43" s="118"/>
      <c r="GU43" s="118"/>
      <c r="GV43" s="118"/>
      <c r="GW43" s="118"/>
      <c r="GX43" s="118"/>
      <c r="GY43" s="118"/>
      <c r="GZ43" s="118"/>
      <c r="HA43" s="118"/>
      <c r="HB43" s="118"/>
      <c r="HC43" s="118"/>
      <c r="HD43" s="118"/>
      <c r="HE43" s="118"/>
      <c r="HF43" s="118"/>
      <c r="HG43" s="118"/>
      <c r="HH43" s="118"/>
      <c r="HI43" s="118"/>
      <c r="HJ43" s="118"/>
      <c r="HK43" s="118"/>
      <c r="HL43" s="118"/>
      <c r="HM43" s="118"/>
      <c r="HN43" s="118"/>
      <c r="HO43" s="118"/>
      <c r="HP43" s="118"/>
      <c r="HQ43" s="118"/>
      <c r="HR43" s="118"/>
      <c r="HS43" s="118"/>
      <c r="HT43" s="118"/>
      <c r="HU43" s="118"/>
      <c r="HV43" s="118"/>
      <c r="HW43" s="118"/>
      <c r="HX43" s="118"/>
      <c r="HY43" s="118"/>
      <c r="HZ43" s="118"/>
      <c r="IA43" s="118"/>
      <c r="IB43" s="118"/>
      <c r="IC43" s="118"/>
      <c r="ID43" s="118"/>
      <c r="IE43" s="118"/>
      <c r="IF43" s="118"/>
      <c r="IG43" s="118"/>
      <c r="IH43" s="118"/>
      <c r="II43" s="118"/>
      <c r="IJ43" s="118"/>
      <c r="IK43" s="118"/>
      <c r="IL43" s="118"/>
      <c r="IM43" s="118"/>
      <c r="IN43" s="118"/>
      <c r="IO43" s="118"/>
      <c r="IP43" s="118"/>
      <c r="IQ43" s="118"/>
      <c r="IR43" s="118"/>
      <c r="IS43" s="118"/>
      <c r="IT43" s="118"/>
      <c r="IU43" s="118"/>
      <c r="IV43" s="118"/>
      <c r="IW43" s="118"/>
    </row>
    <row r="44" customFormat="false" ht="12.75" hidden="false" customHeight="false" outlineLevel="0" collapsed="false">
      <c r="A44" s="402"/>
      <c r="J44" s="413"/>
    </row>
    <row r="45" customFormat="false" ht="12.75" hidden="false" customHeight="false" outlineLevel="0" collapsed="false">
      <c r="A45" s="416" t="s">
        <v>330</v>
      </c>
      <c r="C45" s="334" t="n">
        <f aca="false">-Assumptions!$C$76*Assumptions!D11</f>
        <v>-0</v>
      </c>
      <c r="D45" s="321" t="n">
        <v>0</v>
      </c>
      <c r="E45" s="321" t="n">
        <v>0</v>
      </c>
      <c r="F45" s="321" t="n">
        <v>0</v>
      </c>
      <c r="G45" s="321" t="n">
        <v>0</v>
      </c>
      <c r="H45" s="321" t="n">
        <v>0</v>
      </c>
      <c r="I45" s="321" t="n">
        <v>0</v>
      </c>
      <c r="J45" s="321" t="n">
        <v>0</v>
      </c>
      <c r="K45" s="321" t="n">
        <v>0</v>
      </c>
      <c r="L45" s="321" t="n">
        <v>0</v>
      </c>
      <c r="M45" s="321" t="n">
        <v>0</v>
      </c>
      <c r="N45" s="321" t="n">
        <v>0</v>
      </c>
      <c r="O45" s="321" t="n">
        <v>0</v>
      </c>
      <c r="P45" s="321" t="n">
        <v>0</v>
      </c>
      <c r="Q45" s="321" t="n">
        <v>0</v>
      </c>
      <c r="R45" s="321" t="n">
        <v>0</v>
      </c>
      <c r="S45" s="321" t="n">
        <v>0</v>
      </c>
      <c r="T45" s="321" t="n">
        <v>0</v>
      </c>
      <c r="U45" s="321" t="n">
        <v>0</v>
      </c>
      <c r="V45" s="321" t="n">
        <v>0</v>
      </c>
      <c r="W45" s="321" t="n">
        <v>0</v>
      </c>
      <c r="X45" s="321" t="n">
        <v>0</v>
      </c>
      <c r="Y45" s="321" t="n">
        <v>0</v>
      </c>
      <c r="Z45" s="321" t="n">
        <v>0</v>
      </c>
      <c r="AA45" s="321" t="n">
        <v>0</v>
      </c>
      <c r="AB45" s="321" t="n">
        <v>0</v>
      </c>
      <c r="AC45" s="321" t="n">
        <v>0</v>
      </c>
      <c r="AD45" s="321" t="n">
        <v>0</v>
      </c>
      <c r="AE45" s="321" t="n">
        <v>0</v>
      </c>
      <c r="AF45" s="321" t="n">
        <v>0</v>
      </c>
      <c r="AG45" s="321" t="n">
        <v>0</v>
      </c>
    </row>
    <row r="46" customFormat="false" ht="12.75" hidden="false" customHeight="false" outlineLevel="0" collapsed="false">
      <c r="A46" s="416"/>
      <c r="C46" s="334"/>
      <c r="D46" s="417"/>
      <c r="E46" s="417"/>
      <c r="F46" s="417"/>
      <c r="G46" s="417"/>
      <c r="H46" s="417"/>
      <c r="I46" s="417"/>
      <c r="J46" s="417"/>
      <c r="K46" s="417"/>
      <c r="L46" s="417"/>
      <c r="M46" s="417"/>
      <c r="N46" s="417"/>
      <c r="O46" s="417"/>
      <c r="P46" s="417"/>
      <c r="Q46" s="417"/>
      <c r="R46" s="417"/>
      <c r="S46" s="417"/>
      <c r="T46" s="417"/>
      <c r="U46" s="417"/>
      <c r="V46" s="417"/>
      <c r="W46" s="417"/>
    </row>
    <row r="47" customFormat="false" ht="12.75" hidden="false" customHeight="false" outlineLevel="0" collapsed="false">
      <c r="A47" s="418"/>
      <c r="B47" s="418"/>
      <c r="C47" s="419"/>
    </row>
    <row r="48" customFormat="false" ht="12.75" hidden="false" customHeight="false" outlineLevel="0" collapsed="false">
      <c r="A48" s="410" t="s">
        <v>331</v>
      </c>
      <c r="C48" s="343"/>
      <c r="D48" s="343"/>
      <c r="E48" s="343"/>
      <c r="F48" s="343"/>
      <c r="G48" s="343"/>
      <c r="H48" s="343"/>
      <c r="I48" s="413"/>
    </row>
    <row r="49" customFormat="false" ht="12.75" hidden="false" customHeight="false" outlineLevel="0" collapsed="false">
      <c r="A49" s="1" t="s">
        <v>332</v>
      </c>
      <c r="C49" s="417" t="n">
        <f aca="false">C45+C43</f>
        <v>0</v>
      </c>
      <c r="D49" s="417" t="n">
        <f aca="false">D45+D43</f>
        <v>0</v>
      </c>
      <c r="E49" s="417" t="n">
        <f aca="false">E45+E43</f>
        <v>0</v>
      </c>
      <c r="F49" s="417" t="n">
        <f aca="false">F45+F43</f>
        <v>0</v>
      </c>
      <c r="G49" s="417" t="n">
        <f aca="false">G45+G43</f>
        <v>0</v>
      </c>
      <c r="H49" s="417" t="n">
        <f aca="false">H45+H43</f>
        <v>0</v>
      </c>
      <c r="I49" s="417" t="n">
        <f aca="false">I45+I43</f>
        <v>0</v>
      </c>
      <c r="J49" s="417" t="n">
        <f aca="false">J45+J43</f>
        <v>0</v>
      </c>
      <c r="K49" s="417" t="n">
        <f aca="false">K45+K43</f>
        <v>0</v>
      </c>
      <c r="L49" s="417" t="n">
        <f aca="false">L45+L43</f>
        <v>0</v>
      </c>
      <c r="M49" s="417" t="n">
        <f aca="false">M45+M43</f>
        <v>0</v>
      </c>
      <c r="N49" s="417" t="n">
        <f aca="false">N45+N43</f>
        <v>0</v>
      </c>
      <c r="O49" s="417" t="n">
        <f aca="false">O45+O43</f>
        <v>0</v>
      </c>
      <c r="P49" s="417" t="n">
        <f aca="false">P45+P43</f>
        <v>0</v>
      </c>
      <c r="Q49" s="417" t="n">
        <f aca="false">Q45+Q43</f>
        <v>0</v>
      </c>
      <c r="R49" s="417" t="n">
        <f aca="false">R45+R43</f>
        <v>0</v>
      </c>
      <c r="S49" s="417" t="n">
        <f aca="false">S45+S43</f>
        <v>0</v>
      </c>
      <c r="T49" s="417" t="n">
        <f aca="false">T45+T43</f>
        <v>0</v>
      </c>
      <c r="U49" s="417" t="n">
        <f aca="false">U45+U43</f>
        <v>0</v>
      </c>
      <c r="V49" s="417" t="n">
        <f aca="false">V45+V43</f>
        <v>0</v>
      </c>
      <c r="W49" s="417" t="n">
        <f aca="false">W45+W43</f>
        <v>0</v>
      </c>
      <c r="X49" s="417" t="n">
        <f aca="false">X45+X43</f>
        <v>0</v>
      </c>
      <c r="Y49" s="417" t="n">
        <f aca="false">Y45+Y43</f>
        <v>0</v>
      </c>
      <c r="Z49" s="417" t="n">
        <f aca="false">Z45+Z43</f>
        <v>0</v>
      </c>
      <c r="AA49" s="417" t="n">
        <f aca="false">AA45+AA43</f>
        <v>0</v>
      </c>
      <c r="AB49" s="417" t="n">
        <f aca="false">AB45+AB43</f>
        <v>0</v>
      </c>
      <c r="AC49" s="417" t="n">
        <f aca="false">AC45+AC43</f>
        <v>0</v>
      </c>
      <c r="AD49" s="417" t="n">
        <f aca="false">AD45+AD43</f>
        <v>0</v>
      </c>
      <c r="AE49" s="417" t="n">
        <f aca="false">AE45+AE43</f>
        <v>0</v>
      </c>
      <c r="AF49" s="417" t="n">
        <f aca="false">AF45+AF43</f>
        <v>0</v>
      </c>
      <c r="AG49" s="417" t="n">
        <f aca="false">AG45+AG43</f>
        <v>0</v>
      </c>
    </row>
    <row r="50" customFormat="false" ht="12.75" hidden="false" customHeight="false" outlineLevel="0" collapsed="false">
      <c r="A50" s="1" t="s">
        <v>17</v>
      </c>
      <c r="C50" s="420" t="e">
        <f aca="false">+XIRR(C49:T49,C36:T36)</f>
        <v>#VALUE!</v>
      </c>
      <c r="D50" s="417"/>
      <c r="E50" s="417"/>
      <c r="F50" s="417"/>
      <c r="G50" s="417"/>
      <c r="H50" s="417"/>
      <c r="I50" s="417"/>
      <c r="J50" s="417"/>
      <c r="K50" s="417"/>
      <c r="L50" s="417"/>
      <c r="M50" s="417"/>
      <c r="N50" s="417"/>
      <c r="O50" s="417"/>
      <c r="P50" s="417"/>
      <c r="Q50" s="417"/>
      <c r="R50" s="417"/>
      <c r="S50" s="417"/>
      <c r="T50" s="417"/>
      <c r="U50" s="417"/>
      <c r="V50" s="417"/>
      <c r="W50" s="417"/>
      <c r="X50" s="417"/>
      <c r="Y50" s="417"/>
      <c r="Z50" s="417"/>
      <c r="AA50" s="417"/>
      <c r="AB50" s="417"/>
      <c r="AC50" s="417"/>
      <c r="AD50" s="417"/>
      <c r="AE50" s="417"/>
      <c r="AF50" s="417"/>
      <c r="AG50" s="417"/>
    </row>
    <row r="52" customFormat="false" ht="12.75" hidden="false" customHeight="false" outlineLevel="0" collapsed="false">
      <c r="A52" s="410" t="s">
        <v>333</v>
      </c>
    </row>
    <row r="53" customFormat="false" ht="12.75" hidden="false" customHeight="false" outlineLevel="0" collapsed="false">
      <c r="A53" s="1" t="s">
        <v>332</v>
      </c>
      <c r="C53" s="417" t="n">
        <f aca="false">C49</f>
        <v>0</v>
      </c>
      <c r="D53" s="417" t="n">
        <f aca="false">D49</f>
        <v>0</v>
      </c>
      <c r="E53" s="417" t="n">
        <f aca="false">E49</f>
        <v>0</v>
      </c>
      <c r="F53" s="417" t="n">
        <f aca="false">F49</f>
        <v>0</v>
      </c>
      <c r="G53" s="417" t="n">
        <f aca="false">G49</f>
        <v>0</v>
      </c>
      <c r="H53" s="417" t="n">
        <f aca="false">H49</f>
        <v>0</v>
      </c>
      <c r="I53" s="417" t="n">
        <f aca="false">I49</f>
        <v>0</v>
      </c>
      <c r="J53" s="417" t="n">
        <f aca="false">J49</f>
        <v>0</v>
      </c>
      <c r="K53" s="417" t="n">
        <f aca="false">K49</f>
        <v>0</v>
      </c>
      <c r="L53" s="417" t="n">
        <f aca="false">L49</f>
        <v>0</v>
      </c>
      <c r="M53" s="417" t="n">
        <f aca="false">M49</f>
        <v>0</v>
      </c>
      <c r="N53" s="417" t="n">
        <f aca="false">N49</f>
        <v>0</v>
      </c>
      <c r="O53" s="417" t="n">
        <f aca="false">O49</f>
        <v>0</v>
      </c>
      <c r="P53" s="417" t="n">
        <f aca="false">P49</f>
        <v>0</v>
      </c>
      <c r="Q53" s="417" t="n">
        <f aca="false">Q49</f>
        <v>0</v>
      </c>
      <c r="R53" s="417" t="n">
        <f aca="false">R49</f>
        <v>0</v>
      </c>
      <c r="S53" s="417" t="n">
        <f aca="false">S49</f>
        <v>0</v>
      </c>
      <c r="T53" s="417" t="n">
        <f aca="false">T49</f>
        <v>0</v>
      </c>
      <c r="U53" s="417" t="n">
        <f aca="false">U49</f>
        <v>0</v>
      </c>
      <c r="V53" s="417" t="n">
        <f aca="false">V49</f>
        <v>0</v>
      </c>
      <c r="W53" s="417" t="n">
        <f aca="false">W49</f>
        <v>0</v>
      </c>
      <c r="X53" s="417" t="n">
        <f aca="false">X49</f>
        <v>0</v>
      </c>
      <c r="Y53" s="417" t="n">
        <f aca="false">Y49</f>
        <v>0</v>
      </c>
      <c r="Z53" s="417" t="n">
        <f aca="false">Z49</f>
        <v>0</v>
      </c>
      <c r="AA53" s="417" t="n">
        <f aca="false">AA49</f>
        <v>0</v>
      </c>
      <c r="AB53" s="417" t="n">
        <f aca="false">AB49</f>
        <v>0</v>
      </c>
      <c r="AC53" s="417" t="n">
        <f aca="false">AC49</f>
        <v>0</v>
      </c>
      <c r="AD53" s="417" t="n">
        <f aca="false">AD49</f>
        <v>0</v>
      </c>
      <c r="AE53" s="417" t="n">
        <f aca="false">AE49</f>
        <v>0</v>
      </c>
      <c r="AF53" s="417" t="n">
        <f aca="false">AF49</f>
        <v>0</v>
      </c>
      <c r="AG53" s="417" t="n">
        <f aca="false">AG49</f>
        <v>0</v>
      </c>
    </row>
    <row r="54" customFormat="false" ht="12.75" hidden="false" customHeight="false" outlineLevel="0" collapsed="false">
      <c r="A54" s="1" t="s">
        <v>334</v>
      </c>
      <c r="C54" s="421" t="n">
        <v>0</v>
      </c>
      <c r="D54" s="421" t="n">
        <v>0</v>
      </c>
      <c r="E54" s="421" t="n">
        <v>0</v>
      </c>
      <c r="F54" s="421" t="n">
        <v>0</v>
      </c>
      <c r="G54" s="421" t="n">
        <v>0</v>
      </c>
      <c r="H54" s="421" t="n">
        <v>0</v>
      </c>
      <c r="I54" s="421" t="n">
        <v>0</v>
      </c>
      <c r="J54" s="421" t="n">
        <v>0</v>
      </c>
      <c r="K54" s="421" t="n">
        <v>0</v>
      </c>
      <c r="L54" s="421" t="n">
        <v>0</v>
      </c>
      <c r="M54" s="421" t="n">
        <v>0</v>
      </c>
      <c r="N54" s="421" t="n">
        <v>0</v>
      </c>
      <c r="O54" s="421" t="n">
        <v>0</v>
      </c>
      <c r="P54" s="421" t="n">
        <v>0</v>
      </c>
      <c r="Q54" s="421" t="n">
        <v>0</v>
      </c>
      <c r="R54" s="421" t="n">
        <v>0</v>
      </c>
      <c r="S54" s="421" t="n">
        <v>0</v>
      </c>
      <c r="T54" s="421" t="n">
        <f aca="false">+Assumptions!D43*Assumptions!J21</f>
        <v>25925.9810676331</v>
      </c>
      <c r="U54" s="421" t="n">
        <v>0</v>
      </c>
      <c r="V54" s="421" t="n">
        <v>0</v>
      </c>
      <c r="W54" s="421" t="n">
        <v>0</v>
      </c>
      <c r="X54" s="422" t="n">
        <v>0</v>
      </c>
      <c r="Y54" s="422" t="n">
        <v>0</v>
      </c>
      <c r="Z54" s="422" t="n">
        <v>0</v>
      </c>
      <c r="AA54" s="422" t="n">
        <v>0</v>
      </c>
      <c r="AB54" s="422" t="n">
        <v>0</v>
      </c>
      <c r="AC54" s="422" t="n">
        <v>0</v>
      </c>
      <c r="AD54" s="422" t="n">
        <v>0</v>
      </c>
      <c r="AE54" s="422" t="n">
        <v>0</v>
      </c>
      <c r="AF54" s="422" t="n">
        <v>0</v>
      </c>
      <c r="AG54" s="422" t="n">
        <v>0</v>
      </c>
    </row>
    <row r="55" customFormat="false" ht="12.75" hidden="false" customHeight="false" outlineLevel="0" collapsed="false">
      <c r="A55" s="1" t="s">
        <v>335</v>
      </c>
      <c r="C55" s="417" t="n">
        <f aca="false">C53+C54</f>
        <v>0</v>
      </c>
      <c r="D55" s="417" t="n">
        <f aca="false">D53+D54</f>
        <v>0</v>
      </c>
      <c r="E55" s="417" t="n">
        <f aca="false">E53+E54</f>
        <v>0</v>
      </c>
      <c r="F55" s="417" t="n">
        <f aca="false">F53+F54</f>
        <v>0</v>
      </c>
      <c r="G55" s="417" t="n">
        <f aca="false">G53+G54</f>
        <v>0</v>
      </c>
      <c r="H55" s="417" t="n">
        <f aca="false">H53+H54</f>
        <v>0</v>
      </c>
      <c r="I55" s="417" t="n">
        <f aca="false">I53+I54</f>
        <v>0</v>
      </c>
      <c r="J55" s="417" t="n">
        <f aca="false">J53+J54</f>
        <v>0</v>
      </c>
      <c r="K55" s="417" t="n">
        <f aca="false">K53+K54</f>
        <v>0</v>
      </c>
      <c r="L55" s="417" t="n">
        <f aca="false">L53+L54</f>
        <v>0</v>
      </c>
      <c r="M55" s="417" t="n">
        <f aca="false">M53+M54</f>
        <v>0</v>
      </c>
      <c r="N55" s="417" t="n">
        <f aca="false">N53+N54</f>
        <v>0</v>
      </c>
      <c r="O55" s="417" t="n">
        <f aca="false">O53+O54</f>
        <v>0</v>
      </c>
      <c r="P55" s="417" t="n">
        <f aca="false">P53+P54</f>
        <v>0</v>
      </c>
      <c r="Q55" s="417" t="n">
        <f aca="false">Q53+Q54</f>
        <v>0</v>
      </c>
      <c r="R55" s="417" t="n">
        <f aca="false">R53+R54</f>
        <v>0</v>
      </c>
      <c r="S55" s="417" t="n">
        <f aca="false">S53+S54</f>
        <v>0</v>
      </c>
      <c r="T55" s="417" t="n">
        <f aca="false">T53+T54</f>
        <v>25925.9810676331</v>
      </c>
      <c r="U55" s="417" t="n">
        <f aca="false">U53+U54</f>
        <v>0</v>
      </c>
      <c r="V55" s="417" t="n">
        <f aca="false">V53+V54</f>
        <v>0</v>
      </c>
      <c r="W55" s="417" t="n">
        <f aca="false">W53+W54</f>
        <v>0</v>
      </c>
      <c r="X55" s="417" t="n">
        <f aca="false">X53+X54</f>
        <v>0</v>
      </c>
      <c r="Y55" s="417" t="n">
        <f aca="false">Y53+Y54</f>
        <v>0</v>
      </c>
      <c r="Z55" s="417" t="n">
        <f aca="false">Z53+Z54</f>
        <v>0</v>
      </c>
      <c r="AA55" s="417" t="n">
        <f aca="false">AA53+AA54</f>
        <v>0</v>
      </c>
      <c r="AB55" s="417" t="n">
        <f aca="false">AB53+AB54</f>
        <v>0</v>
      </c>
      <c r="AC55" s="417" t="n">
        <f aca="false">AC53+AC54</f>
        <v>0</v>
      </c>
      <c r="AD55" s="417" t="n">
        <f aca="false">AD53+AD54</f>
        <v>0</v>
      </c>
      <c r="AE55" s="417" t="n">
        <f aca="false">AE53+AE54</f>
        <v>0</v>
      </c>
      <c r="AF55" s="417" t="n">
        <f aca="false">AF53+AF54</f>
        <v>0</v>
      </c>
      <c r="AG55" s="417" t="n">
        <f aca="false">AG53+AG54</f>
        <v>0</v>
      </c>
    </row>
    <row r="56" customFormat="false" ht="12.75" hidden="false" customHeight="false" outlineLevel="0" collapsed="false">
      <c r="A56" s="52" t="s">
        <v>336</v>
      </c>
      <c r="C56" s="423"/>
      <c r="D56" s="417"/>
      <c r="E56" s="417"/>
      <c r="F56" s="417"/>
      <c r="G56" s="417"/>
      <c r="H56" s="417"/>
      <c r="I56" s="417"/>
      <c r="J56" s="417"/>
      <c r="K56" s="417"/>
      <c r="L56" s="417"/>
      <c r="M56" s="417"/>
      <c r="N56" s="417"/>
      <c r="O56" s="417"/>
      <c r="P56" s="417"/>
      <c r="Q56" s="417"/>
      <c r="R56" s="417"/>
      <c r="S56" s="417"/>
      <c r="T56" s="417"/>
      <c r="U56" s="417"/>
      <c r="V56" s="417"/>
      <c r="W56" s="417"/>
    </row>
    <row r="57" customFormat="false" ht="12.75" hidden="false" customHeight="false" outlineLevel="0" collapsed="false">
      <c r="A57" s="52"/>
      <c r="B57" s="424"/>
    </row>
    <row r="58" customFormat="false" ht="12.75" hidden="false" customHeight="false" outlineLevel="0" collapsed="false">
      <c r="C58" s="417" t="n">
        <f aca="false">+C55+C49</f>
        <v>0</v>
      </c>
      <c r="D58" s="417" t="n">
        <f aca="false">+D55</f>
        <v>0</v>
      </c>
      <c r="E58" s="417" t="n">
        <f aca="false">+E55</f>
        <v>0</v>
      </c>
      <c r="F58" s="417" t="n">
        <f aca="false">+F55</f>
        <v>0</v>
      </c>
      <c r="G58" s="417" t="n">
        <f aca="false">+G55</f>
        <v>0</v>
      </c>
      <c r="H58" s="417" t="n">
        <f aca="false">+H55</f>
        <v>0</v>
      </c>
      <c r="I58" s="417" t="n">
        <f aca="false">+I55</f>
        <v>0</v>
      </c>
      <c r="J58" s="417" t="n">
        <f aca="false">+J55</f>
        <v>0</v>
      </c>
      <c r="K58" s="417" t="n">
        <f aca="false">+K55</f>
        <v>0</v>
      </c>
      <c r="L58" s="417" t="n">
        <f aca="false">+L55</f>
        <v>0</v>
      </c>
      <c r="M58" s="417" t="n">
        <f aca="false">+M55</f>
        <v>0</v>
      </c>
      <c r="N58" s="417" t="n">
        <f aca="false">+N55</f>
        <v>0</v>
      </c>
      <c r="O58" s="417" t="n">
        <f aca="false">+O55</f>
        <v>0</v>
      </c>
      <c r="P58" s="417" t="n">
        <f aca="false">+P55</f>
        <v>0</v>
      </c>
      <c r="Q58" s="417" t="n">
        <f aca="false">+Q55</f>
        <v>0</v>
      </c>
      <c r="R58" s="417" t="n">
        <f aca="false">+R55</f>
        <v>0</v>
      </c>
      <c r="S58" s="417" t="n">
        <f aca="false">+S55</f>
        <v>0</v>
      </c>
      <c r="T58" s="417" t="n">
        <f aca="false">+T55</f>
        <v>25925.9810676331</v>
      </c>
    </row>
    <row r="70" customFormat="false" ht="12.75" hidden="false" customHeight="false" outlineLevel="0" collapsed="false">
      <c r="A70" s="0"/>
      <c r="B70" s="0"/>
      <c r="C70" s="375"/>
      <c r="D70" s="375"/>
      <c r="E70" s="375"/>
      <c r="F70" s="375"/>
      <c r="G70" s="375"/>
      <c r="H70" s="375"/>
      <c r="I70" s="375"/>
      <c r="J70" s="375"/>
      <c r="K70" s="375"/>
      <c r="L70" s="375"/>
      <c r="M70" s="375"/>
      <c r="N70" s="375"/>
      <c r="O70" s="375"/>
      <c r="P70" s="375"/>
      <c r="Q70" s="375"/>
      <c r="R70" s="375"/>
      <c r="S70" s="375"/>
      <c r="T70" s="375"/>
      <c r="U70" s="375"/>
      <c r="V70" s="375"/>
      <c r="W70" s="375"/>
      <c r="X70" s="375"/>
      <c r="Y70" s="375"/>
      <c r="Z70" s="375"/>
      <c r="AA70" s="375"/>
      <c r="AB70" s="375"/>
      <c r="AC70" s="375"/>
      <c r="AD70" s="375"/>
      <c r="AE70" s="375"/>
      <c r="AF70" s="375"/>
      <c r="AG70" s="375"/>
      <c r="AH70" s="0"/>
      <c r="AI70" s="0"/>
      <c r="AJ70" s="0"/>
      <c r="AK70" s="0"/>
      <c r="AL70" s="0"/>
      <c r="AM70" s="0"/>
      <c r="AN70" s="0"/>
      <c r="AO70" s="0"/>
      <c r="AP70" s="0"/>
      <c r="AQ70" s="0"/>
      <c r="AR70" s="0"/>
      <c r="AS70" s="0"/>
      <c r="AT70" s="0"/>
      <c r="AU70" s="0"/>
      <c r="AV70" s="0"/>
      <c r="AW70" s="0"/>
      <c r="AX70" s="0"/>
      <c r="AY70" s="0"/>
      <c r="AZ70" s="0"/>
      <c r="BA70" s="0"/>
      <c r="BB70" s="0"/>
      <c r="BC70" s="0"/>
      <c r="BD70" s="0"/>
      <c r="BE70" s="0"/>
      <c r="BF70" s="0"/>
      <c r="BG70" s="0"/>
      <c r="BH70" s="0"/>
      <c r="BI70" s="0"/>
      <c r="BJ70" s="0"/>
      <c r="BK70" s="0"/>
      <c r="BL70" s="0"/>
      <c r="BM70" s="0"/>
      <c r="BN70" s="0"/>
      <c r="BO70" s="0"/>
      <c r="BP70" s="0"/>
      <c r="BQ70" s="0"/>
      <c r="BR70" s="0"/>
      <c r="BS70" s="0"/>
      <c r="BT70" s="0"/>
      <c r="BU70" s="0"/>
      <c r="BV70" s="0"/>
      <c r="BW70" s="0"/>
      <c r="BX70" s="0"/>
      <c r="BY70" s="0"/>
      <c r="BZ70" s="0"/>
      <c r="CA70" s="0"/>
      <c r="CB70" s="0"/>
      <c r="CC70" s="0"/>
      <c r="CD70" s="0"/>
      <c r="CE70" s="0"/>
      <c r="CF70" s="0"/>
    </row>
    <row r="71" customFormat="false" ht="12.75" hidden="false" customHeight="false" outlineLevel="0" collapsed="false">
      <c r="A71" s="0"/>
      <c r="B71" s="0"/>
      <c r="C71" s="375"/>
      <c r="D71" s="375"/>
      <c r="E71" s="375"/>
      <c r="F71" s="375"/>
      <c r="G71" s="375"/>
      <c r="H71" s="375"/>
      <c r="I71" s="375"/>
      <c r="J71" s="375"/>
      <c r="K71" s="375"/>
      <c r="L71" s="375"/>
      <c r="M71" s="375"/>
      <c r="N71" s="375"/>
      <c r="O71" s="375"/>
      <c r="P71" s="375"/>
      <c r="Q71" s="375"/>
      <c r="R71" s="375"/>
      <c r="S71" s="375"/>
      <c r="T71" s="375"/>
      <c r="U71" s="375"/>
      <c r="V71" s="375"/>
      <c r="W71" s="375"/>
      <c r="X71" s="375"/>
      <c r="Y71" s="375"/>
      <c r="Z71" s="375"/>
      <c r="AA71" s="375"/>
      <c r="AB71" s="375"/>
      <c r="AC71" s="375"/>
      <c r="AD71" s="375"/>
      <c r="AE71" s="375"/>
      <c r="AF71" s="375"/>
      <c r="AG71" s="375"/>
      <c r="AH71" s="0"/>
      <c r="AI71" s="0"/>
      <c r="AJ71" s="0"/>
      <c r="AK71" s="0"/>
      <c r="AL71" s="0"/>
      <c r="AM71" s="0"/>
      <c r="AN71" s="0"/>
      <c r="AO71" s="0"/>
      <c r="AP71" s="0"/>
      <c r="AQ71" s="0"/>
      <c r="AR71" s="0"/>
      <c r="AS71" s="0"/>
      <c r="AT71" s="0"/>
      <c r="AU71" s="0"/>
      <c r="AV71" s="0"/>
      <c r="AW71" s="0"/>
      <c r="AX71" s="0"/>
      <c r="AY71" s="0"/>
      <c r="AZ71" s="0"/>
      <c r="BA71" s="0"/>
      <c r="BB71" s="0"/>
      <c r="BC71" s="0"/>
      <c r="BD71" s="0"/>
      <c r="BE71" s="0"/>
      <c r="BF71" s="0"/>
      <c r="BG71" s="0"/>
      <c r="BH71" s="0"/>
      <c r="BI71" s="0"/>
      <c r="BJ71" s="0"/>
      <c r="BK71" s="0"/>
      <c r="BL71" s="0"/>
      <c r="BM71" s="0"/>
      <c r="BN71" s="0"/>
      <c r="BO71" s="0"/>
      <c r="BP71" s="0"/>
      <c r="BQ71" s="0"/>
      <c r="BR71" s="0"/>
      <c r="BS71" s="0"/>
      <c r="BT71" s="0"/>
      <c r="BU71" s="0"/>
      <c r="BV71" s="0"/>
      <c r="BW71" s="0"/>
      <c r="BX71" s="0"/>
      <c r="BY71" s="0"/>
      <c r="BZ71" s="0"/>
      <c r="CA71" s="0"/>
      <c r="CB71" s="0"/>
      <c r="CC71" s="0"/>
      <c r="CD71" s="0"/>
      <c r="CE71" s="0"/>
      <c r="CF71" s="0"/>
    </row>
    <row r="72" customFormat="false" ht="12.75" hidden="false" customHeight="false" outlineLevel="0" collapsed="false">
      <c r="A72" s="0"/>
      <c r="B72" s="0"/>
      <c r="C72" s="375"/>
      <c r="D72" s="375"/>
      <c r="E72" s="375"/>
      <c r="F72" s="375"/>
      <c r="G72" s="375"/>
      <c r="H72" s="375"/>
      <c r="I72" s="375"/>
      <c r="J72" s="375"/>
      <c r="K72" s="375"/>
      <c r="L72" s="375"/>
      <c r="M72" s="375"/>
      <c r="N72" s="375"/>
      <c r="O72" s="375"/>
      <c r="P72" s="375"/>
      <c r="Q72" s="375"/>
      <c r="R72" s="375"/>
      <c r="S72" s="375"/>
      <c r="T72" s="375"/>
      <c r="U72" s="375"/>
      <c r="V72" s="375"/>
      <c r="W72" s="375"/>
      <c r="X72" s="375"/>
      <c r="Y72" s="375"/>
      <c r="Z72" s="375"/>
      <c r="AA72" s="375"/>
      <c r="AB72" s="375"/>
      <c r="AC72" s="375"/>
      <c r="AD72" s="375"/>
      <c r="AE72" s="375"/>
      <c r="AF72" s="375"/>
      <c r="AG72" s="375"/>
      <c r="AH72" s="0"/>
      <c r="AI72" s="0"/>
      <c r="AJ72" s="0"/>
      <c r="AK72" s="0"/>
      <c r="AL72" s="0"/>
      <c r="AM72" s="0"/>
      <c r="AN72" s="0"/>
      <c r="AO72" s="0"/>
      <c r="AP72" s="0"/>
      <c r="AQ72" s="0"/>
      <c r="AR72" s="0"/>
      <c r="AS72" s="0"/>
      <c r="AT72" s="0"/>
      <c r="AU72" s="0"/>
      <c r="AV72" s="0"/>
      <c r="AW72" s="0"/>
      <c r="AX72" s="0"/>
      <c r="AY72" s="0"/>
      <c r="AZ72" s="0"/>
      <c r="BA72" s="0"/>
      <c r="BB72" s="0"/>
      <c r="BC72" s="0"/>
      <c r="BD72" s="0"/>
      <c r="BE72" s="0"/>
      <c r="BF72" s="0"/>
      <c r="BG72" s="0"/>
      <c r="BH72" s="0"/>
      <c r="BI72" s="0"/>
      <c r="BJ72" s="0"/>
      <c r="BK72" s="0"/>
      <c r="BL72" s="0"/>
      <c r="BM72" s="0"/>
      <c r="BN72" s="0"/>
      <c r="BO72" s="0"/>
      <c r="BP72" s="0"/>
      <c r="BQ72" s="0"/>
      <c r="BR72" s="0"/>
      <c r="BS72" s="0"/>
      <c r="BT72" s="0"/>
      <c r="BU72" s="0"/>
      <c r="BV72" s="0"/>
      <c r="BW72" s="0"/>
      <c r="BX72" s="0"/>
      <c r="BY72" s="0"/>
      <c r="BZ72" s="0"/>
      <c r="CA72" s="0"/>
      <c r="CB72" s="0"/>
      <c r="CC72" s="0"/>
      <c r="CD72" s="0"/>
      <c r="CE72" s="0"/>
      <c r="CF72" s="0"/>
    </row>
    <row r="73" customFormat="false" ht="12.75" hidden="false" customHeight="false" outlineLevel="0" collapsed="false">
      <c r="A73" s="0"/>
      <c r="B73" s="0"/>
      <c r="C73" s="375"/>
      <c r="D73" s="375"/>
      <c r="E73" s="375"/>
      <c r="F73" s="375"/>
      <c r="G73" s="375"/>
      <c r="H73" s="375"/>
      <c r="I73" s="375"/>
      <c r="J73" s="375"/>
      <c r="K73" s="375"/>
      <c r="L73" s="375"/>
      <c r="M73" s="375"/>
      <c r="N73" s="375"/>
      <c r="O73" s="375"/>
      <c r="P73" s="375"/>
      <c r="Q73" s="375"/>
      <c r="R73" s="375"/>
      <c r="S73" s="375"/>
      <c r="T73" s="375"/>
      <c r="U73" s="375"/>
      <c r="V73" s="375"/>
      <c r="W73" s="375"/>
      <c r="X73" s="375"/>
      <c r="Y73" s="375"/>
      <c r="Z73" s="375"/>
      <c r="AA73" s="375"/>
      <c r="AB73" s="375"/>
      <c r="AC73" s="375"/>
      <c r="AD73" s="375"/>
      <c r="AE73" s="375"/>
      <c r="AF73" s="375"/>
      <c r="AG73" s="375"/>
      <c r="AH73" s="0"/>
      <c r="AI73" s="0"/>
      <c r="AJ73" s="0"/>
      <c r="AK73" s="0"/>
      <c r="AL73" s="0"/>
      <c r="AM73" s="0"/>
      <c r="AN73" s="0"/>
      <c r="AO73" s="0"/>
      <c r="AP73" s="0"/>
      <c r="AQ73" s="0"/>
      <c r="AR73" s="0"/>
      <c r="AS73" s="0"/>
      <c r="AT73" s="0"/>
      <c r="AU73" s="0"/>
      <c r="AV73" s="0"/>
      <c r="AW73" s="0"/>
      <c r="AX73" s="0"/>
      <c r="AY73" s="0"/>
      <c r="AZ73" s="0"/>
      <c r="BA73" s="0"/>
      <c r="BB73" s="0"/>
      <c r="BC73" s="0"/>
      <c r="BD73" s="0"/>
      <c r="BE73" s="0"/>
      <c r="BF73" s="0"/>
      <c r="BG73" s="0"/>
      <c r="BH73" s="0"/>
      <c r="BI73" s="0"/>
      <c r="BJ73" s="0"/>
      <c r="BK73" s="0"/>
      <c r="BL73" s="0"/>
      <c r="BM73" s="0"/>
      <c r="BN73" s="0"/>
      <c r="BO73" s="0"/>
      <c r="BP73" s="0"/>
      <c r="BQ73" s="0"/>
      <c r="BR73" s="0"/>
      <c r="BS73" s="0"/>
      <c r="BT73" s="0"/>
      <c r="BU73" s="0"/>
      <c r="BV73" s="0"/>
      <c r="BW73" s="0"/>
      <c r="BX73" s="0"/>
      <c r="BY73" s="0"/>
      <c r="BZ73" s="0"/>
      <c r="CA73" s="0"/>
      <c r="CB73" s="0"/>
      <c r="CC73" s="0"/>
      <c r="CD73" s="0"/>
      <c r="CE73" s="0"/>
      <c r="CF73" s="0"/>
    </row>
    <row r="74" customFormat="false" ht="12.75" hidden="false" customHeight="false" outlineLevel="0" collapsed="false">
      <c r="A74" s="0"/>
      <c r="B74" s="0"/>
      <c r="C74" s="375"/>
      <c r="D74" s="375"/>
      <c r="E74" s="375"/>
      <c r="F74" s="375"/>
      <c r="G74" s="375"/>
      <c r="H74" s="375"/>
      <c r="I74" s="375"/>
      <c r="J74" s="375"/>
      <c r="K74" s="375"/>
      <c r="L74" s="375"/>
      <c r="M74" s="375"/>
      <c r="N74" s="375"/>
      <c r="O74" s="375"/>
      <c r="P74" s="375"/>
      <c r="Q74" s="375"/>
      <c r="R74" s="375"/>
      <c r="S74" s="375"/>
      <c r="T74" s="375"/>
      <c r="U74" s="375"/>
      <c r="V74" s="375"/>
      <c r="W74" s="375"/>
      <c r="X74" s="375"/>
      <c r="Y74" s="375"/>
      <c r="Z74" s="375"/>
      <c r="AA74" s="375"/>
      <c r="AB74" s="375"/>
      <c r="AC74" s="375"/>
      <c r="AD74" s="375"/>
      <c r="AE74" s="375"/>
      <c r="AF74" s="375"/>
      <c r="AG74" s="375"/>
      <c r="AH74" s="0"/>
      <c r="AI74" s="0"/>
      <c r="AJ74" s="0"/>
      <c r="AK74" s="0"/>
      <c r="AL74" s="0"/>
      <c r="AM74" s="0"/>
      <c r="AN74" s="0"/>
      <c r="AO74" s="0"/>
      <c r="AP74" s="0"/>
      <c r="AQ74" s="0"/>
      <c r="AR74" s="0"/>
      <c r="AS74" s="0"/>
      <c r="AT74" s="0"/>
      <c r="AU74" s="0"/>
      <c r="AV74" s="0"/>
      <c r="AW74" s="0"/>
      <c r="AX74" s="0"/>
      <c r="AY74" s="0"/>
      <c r="AZ74" s="0"/>
      <c r="BA74" s="0"/>
      <c r="BB74" s="0"/>
      <c r="BC74" s="0"/>
      <c r="BD74" s="0"/>
      <c r="BE74" s="0"/>
      <c r="BF74" s="0"/>
      <c r="BG74" s="0"/>
      <c r="BH74" s="0"/>
      <c r="BI74" s="0"/>
      <c r="BJ74" s="0"/>
      <c r="BK74" s="0"/>
      <c r="BL74" s="0"/>
      <c r="BM74" s="0"/>
      <c r="BN74" s="0"/>
      <c r="BO74" s="0"/>
      <c r="BP74" s="0"/>
      <c r="BQ74" s="0"/>
      <c r="BR74" s="0"/>
      <c r="BS74" s="0"/>
      <c r="BT74" s="0"/>
      <c r="BU74" s="0"/>
      <c r="BV74" s="0"/>
      <c r="BW74" s="0"/>
      <c r="BX74" s="0"/>
      <c r="BY74" s="0"/>
      <c r="BZ74" s="0"/>
      <c r="CA74" s="0"/>
      <c r="CB74" s="0"/>
      <c r="CC74" s="0"/>
      <c r="CD74" s="0"/>
      <c r="CE74" s="0"/>
      <c r="CF74" s="0"/>
    </row>
    <row r="75" customFormat="false" ht="12.75" hidden="false" customHeight="false" outlineLevel="0" collapsed="false">
      <c r="A75" s="0"/>
      <c r="B75" s="0"/>
      <c r="C75" s="375"/>
      <c r="D75" s="375"/>
      <c r="E75" s="375"/>
      <c r="F75" s="375"/>
      <c r="G75" s="375"/>
      <c r="H75" s="375"/>
      <c r="I75" s="375"/>
      <c r="J75" s="375"/>
      <c r="K75" s="375"/>
      <c r="L75" s="375"/>
      <c r="M75" s="375"/>
      <c r="N75" s="375"/>
      <c r="O75" s="375"/>
      <c r="P75" s="375"/>
      <c r="Q75" s="375"/>
      <c r="R75" s="375"/>
      <c r="S75" s="375"/>
      <c r="T75" s="375"/>
      <c r="U75" s="375"/>
      <c r="V75" s="375"/>
      <c r="W75" s="375"/>
      <c r="X75" s="375"/>
      <c r="Y75" s="375"/>
      <c r="Z75" s="375"/>
      <c r="AA75" s="375"/>
      <c r="AB75" s="375"/>
      <c r="AC75" s="375"/>
      <c r="AD75" s="375"/>
      <c r="AE75" s="375"/>
      <c r="AF75" s="375"/>
      <c r="AG75" s="375"/>
      <c r="AH75" s="0"/>
      <c r="AI75" s="0"/>
      <c r="AJ75" s="0"/>
      <c r="AK75" s="0"/>
      <c r="AL75" s="0"/>
      <c r="AM75" s="0"/>
      <c r="AN75" s="0"/>
      <c r="AO75" s="0"/>
      <c r="AP75" s="0"/>
      <c r="AQ75" s="0"/>
      <c r="AR75" s="0"/>
      <c r="AS75" s="0"/>
      <c r="AT75" s="0"/>
      <c r="AU75" s="0"/>
      <c r="AV75" s="0"/>
      <c r="AW75" s="0"/>
      <c r="AX75" s="0"/>
      <c r="AY75" s="0"/>
      <c r="AZ75" s="0"/>
      <c r="BA75" s="0"/>
      <c r="BB75" s="0"/>
      <c r="BC75" s="0"/>
      <c r="BD75" s="0"/>
      <c r="BE75" s="0"/>
      <c r="BF75" s="0"/>
      <c r="BG75" s="0"/>
      <c r="BH75" s="0"/>
      <c r="BI75" s="0"/>
      <c r="BJ75" s="0"/>
      <c r="BK75" s="0"/>
      <c r="BL75" s="0"/>
      <c r="BM75" s="0"/>
      <c r="BN75" s="0"/>
      <c r="BO75" s="0"/>
      <c r="BP75" s="0"/>
      <c r="BQ75" s="0"/>
      <c r="BR75" s="0"/>
      <c r="BS75" s="0"/>
      <c r="BT75" s="0"/>
      <c r="BU75" s="0"/>
      <c r="BV75" s="0"/>
      <c r="BW75" s="0"/>
      <c r="BX75" s="0"/>
      <c r="BY75" s="0"/>
      <c r="BZ75" s="0"/>
      <c r="CA75" s="0"/>
      <c r="CB75" s="0"/>
      <c r="CC75" s="0"/>
      <c r="CD75" s="0"/>
      <c r="CE75" s="0"/>
      <c r="CF75" s="0"/>
    </row>
    <row r="76" customFormat="false" ht="12.75" hidden="false" customHeight="false" outlineLevel="0" collapsed="false">
      <c r="A76" s="0"/>
      <c r="B76" s="0"/>
      <c r="C76" s="375"/>
      <c r="D76" s="375"/>
      <c r="E76" s="375"/>
      <c r="F76" s="375"/>
      <c r="G76" s="375"/>
      <c r="H76" s="375"/>
      <c r="I76" s="375"/>
      <c r="J76" s="375"/>
      <c r="K76" s="375"/>
      <c r="L76" s="375"/>
      <c r="M76" s="375"/>
      <c r="N76" s="375"/>
      <c r="O76" s="375"/>
      <c r="P76" s="375"/>
      <c r="Q76" s="375"/>
      <c r="R76" s="375"/>
      <c r="S76" s="375"/>
      <c r="T76" s="375"/>
      <c r="U76" s="375"/>
      <c r="V76" s="375"/>
      <c r="W76" s="375"/>
      <c r="X76" s="375"/>
      <c r="Y76" s="375"/>
      <c r="Z76" s="375"/>
      <c r="AA76" s="375"/>
      <c r="AB76" s="375"/>
      <c r="AC76" s="375"/>
      <c r="AD76" s="375"/>
      <c r="AE76" s="375"/>
      <c r="AF76" s="375"/>
      <c r="AG76" s="375"/>
      <c r="AH76" s="0"/>
      <c r="AI76" s="0"/>
      <c r="AJ76" s="0"/>
      <c r="AK76" s="0"/>
      <c r="AL76" s="0"/>
      <c r="AM76" s="0"/>
      <c r="AN76" s="0"/>
      <c r="AO76" s="0"/>
      <c r="AP76" s="0"/>
      <c r="AQ76" s="0"/>
      <c r="AR76" s="0"/>
      <c r="AS76" s="0"/>
      <c r="AT76" s="0"/>
      <c r="AU76" s="0"/>
      <c r="AV76" s="0"/>
      <c r="AW76" s="0"/>
      <c r="AX76" s="0"/>
      <c r="AY76" s="0"/>
      <c r="AZ76" s="0"/>
      <c r="BA76" s="0"/>
      <c r="BB76" s="0"/>
      <c r="BC76" s="0"/>
      <c r="BD76" s="0"/>
      <c r="BE76" s="0"/>
      <c r="BF76" s="0"/>
      <c r="BG76" s="0"/>
      <c r="BH76" s="0"/>
      <c r="BI76" s="0"/>
      <c r="BJ76" s="0"/>
      <c r="BK76" s="0"/>
      <c r="BL76" s="0"/>
      <c r="BM76" s="0"/>
      <c r="BN76" s="0"/>
      <c r="BO76" s="0"/>
      <c r="BP76" s="0"/>
      <c r="BQ76" s="0"/>
      <c r="BR76" s="0"/>
      <c r="BS76" s="0"/>
      <c r="BT76" s="0"/>
      <c r="BU76" s="0"/>
      <c r="BV76" s="0"/>
      <c r="BW76" s="0"/>
      <c r="BX76" s="0"/>
      <c r="BY76" s="0"/>
      <c r="BZ76" s="0"/>
      <c r="CA76" s="0"/>
      <c r="CB76" s="0"/>
      <c r="CC76" s="0"/>
      <c r="CD76" s="0"/>
      <c r="CE76" s="0"/>
      <c r="CF76" s="0"/>
    </row>
    <row r="77" customFormat="false" ht="12.75" hidden="false" customHeight="false" outlineLevel="0" collapsed="false">
      <c r="A77" s="0"/>
      <c r="B77" s="0"/>
      <c r="C77" s="375"/>
      <c r="D77" s="375"/>
      <c r="E77" s="375"/>
      <c r="F77" s="375"/>
      <c r="G77" s="375"/>
      <c r="H77" s="375"/>
      <c r="I77" s="375"/>
      <c r="J77" s="375"/>
      <c r="K77" s="375"/>
      <c r="L77" s="375"/>
      <c r="M77" s="375"/>
      <c r="N77" s="375"/>
      <c r="O77" s="375"/>
      <c r="P77" s="375"/>
      <c r="Q77" s="375"/>
      <c r="R77" s="375"/>
      <c r="S77" s="375"/>
      <c r="T77" s="375"/>
      <c r="U77" s="375"/>
      <c r="V77" s="375"/>
      <c r="W77" s="375"/>
      <c r="X77" s="375"/>
      <c r="Y77" s="375"/>
      <c r="Z77" s="375"/>
      <c r="AA77" s="375"/>
      <c r="AB77" s="375"/>
      <c r="AC77" s="375"/>
      <c r="AD77" s="375"/>
      <c r="AE77" s="375"/>
      <c r="AF77" s="375"/>
      <c r="AG77" s="375"/>
      <c r="AH77" s="0"/>
      <c r="AI77" s="0"/>
      <c r="AJ77" s="0"/>
      <c r="AK77" s="0"/>
      <c r="AL77" s="0"/>
      <c r="AM77" s="0"/>
      <c r="AN77" s="0"/>
      <c r="AO77" s="0"/>
      <c r="AP77" s="0"/>
      <c r="AQ77" s="0"/>
      <c r="AR77" s="0"/>
      <c r="AS77" s="0"/>
      <c r="AT77" s="0"/>
      <c r="AU77" s="0"/>
      <c r="AV77" s="0"/>
      <c r="AW77" s="0"/>
      <c r="AX77" s="0"/>
      <c r="AY77" s="0"/>
      <c r="AZ77" s="0"/>
      <c r="BA77" s="0"/>
      <c r="BB77" s="0"/>
      <c r="BC77" s="0"/>
      <c r="BD77" s="0"/>
      <c r="BE77" s="0"/>
      <c r="BF77" s="0"/>
      <c r="BG77" s="0"/>
      <c r="BH77" s="0"/>
      <c r="BI77" s="0"/>
      <c r="BJ77" s="0"/>
      <c r="BK77" s="0"/>
      <c r="BL77" s="0"/>
      <c r="BM77" s="0"/>
      <c r="BN77" s="0"/>
      <c r="BO77" s="0"/>
      <c r="BP77" s="0"/>
      <c r="BQ77" s="0"/>
      <c r="BR77" s="0"/>
      <c r="BS77" s="0"/>
      <c r="BT77" s="0"/>
      <c r="BU77" s="0"/>
      <c r="BV77" s="0"/>
      <c r="BW77" s="0"/>
      <c r="BX77" s="0"/>
      <c r="BY77" s="0"/>
      <c r="BZ77" s="0"/>
      <c r="CA77" s="0"/>
      <c r="CB77" s="0"/>
      <c r="CC77" s="0"/>
      <c r="CD77" s="0"/>
      <c r="CE77" s="0"/>
      <c r="CF77" s="0"/>
    </row>
    <row r="78" customFormat="false" ht="12.75" hidden="false" customHeight="false" outlineLevel="0" collapsed="false">
      <c r="A78" s="0"/>
      <c r="B78" s="0"/>
      <c r="C78" s="375"/>
      <c r="D78" s="375"/>
      <c r="E78" s="375"/>
      <c r="F78" s="375"/>
      <c r="G78" s="375"/>
      <c r="H78" s="375"/>
      <c r="I78" s="375"/>
      <c r="J78" s="375"/>
      <c r="K78" s="375"/>
      <c r="L78" s="375"/>
      <c r="M78" s="375"/>
      <c r="N78" s="375"/>
      <c r="O78" s="375"/>
      <c r="P78" s="375"/>
      <c r="Q78" s="375"/>
      <c r="R78" s="375"/>
      <c r="S78" s="375"/>
      <c r="T78" s="375"/>
      <c r="U78" s="375"/>
      <c r="V78" s="375"/>
      <c r="W78" s="375"/>
      <c r="X78" s="375"/>
      <c r="Y78" s="375"/>
      <c r="Z78" s="375"/>
      <c r="AA78" s="375"/>
      <c r="AB78" s="375"/>
      <c r="AC78" s="375"/>
      <c r="AD78" s="375"/>
      <c r="AE78" s="375"/>
      <c r="AF78" s="375"/>
      <c r="AG78" s="375"/>
      <c r="AH78" s="0"/>
      <c r="AI78" s="0"/>
      <c r="AJ78" s="0"/>
      <c r="AK78" s="0"/>
      <c r="AL78" s="0"/>
      <c r="AM78" s="0"/>
      <c r="AN78" s="0"/>
      <c r="AO78" s="0"/>
      <c r="AP78" s="0"/>
      <c r="AQ78" s="0"/>
      <c r="AR78" s="0"/>
      <c r="AS78" s="0"/>
      <c r="AT78" s="0"/>
      <c r="AU78" s="0"/>
      <c r="AV78" s="0"/>
      <c r="AW78" s="0"/>
      <c r="AX78" s="0"/>
      <c r="AY78" s="0"/>
      <c r="AZ78" s="0"/>
      <c r="BA78" s="0"/>
      <c r="BB78" s="0"/>
      <c r="BC78" s="0"/>
      <c r="BD78" s="0"/>
      <c r="BE78" s="0"/>
      <c r="BF78" s="0"/>
      <c r="BG78" s="0"/>
      <c r="BH78" s="0"/>
      <c r="BI78" s="0"/>
      <c r="BJ78" s="0"/>
      <c r="BK78" s="0"/>
      <c r="BL78" s="0"/>
      <c r="BM78" s="0"/>
      <c r="BN78" s="0"/>
      <c r="BO78" s="0"/>
      <c r="BP78" s="0"/>
      <c r="BQ78" s="0"/>
      <c r="BR78" s="0"/>
      <c r="BS78" s="0"/>
      <c r="BT78" s="0"/>
      <c r="BU78" s="0"/>
      <c r="BV78" s="0"/>
      <c r="BW78" s="0"/>
      <c r="BX78" s="0"/>
      <c r="BY78" s="0"/>
      <c r="BZ78" s="0"/>
      <c r="CA78" s="0"/>
      <c r="CB78" s="0"/>
      <c r="CC78" s="0"/>
      <c r="CD78" s="0"/>
      <c r="CE78" s="0"/>
      <c r="CF78" s="0"/>
    </row>
    <row r="79" customFormat="false" ht="12.75" hidden="false" customHeight="false" outlineLevel="0" collapsed="false">
      <c r="A79" s="0"/>
      <c r="B79" s="0"/>
      <c r="C79" s="375"/>
      <c r="D79" s="375"/>
      <c r="E79" s="375"/>
      <c r="F79" s="375"/>
      <c r="G79" s="375"/>
      <c r="H79" s="375"/>
      <c r="I79" s="375"/>
      <c r="J79" s="375"/>
      <c r="K79" s="375"/>
      <c r="L79" s="375"/>
      <c r="M79" s="375"/>
      <c r="N79" s="375"/>
      <c r="O79" s="375"/>
      <c r="P79" s="375"/>
      <c r="Q79" s="375"/>
      <c r="R79" s="375"/>
      <c r="S79" s="375"/>
      <c r="T79" s="375"/>
      <c r="U79" s="375"/>
      <c r="V79" s="375"/>
      <c r="W79" s="375"/>
      <c r="X79" s="375"/>
      <c r="Y79" s="375"/>
      <c r="Z79" s="375"/>
      <c r="AA79" s="375"/>
      <c r="AB79" s="375"/>
      <c r="AC79" s="375"/>
      <c r="AD79" s="375"/>
      <c r="AE79" s="375"/>
      <c r="AF79" s="375"/>
      <c r="AG79" s="375"/>
      <c r="AH79" s="0"/>
      <c r="AI79" s="0"/>
      <c r="AJ79" s="0"/>
      <c r="AK79" s="0"/>
      <c r="AL79" s="0"/>
      <c r="AM79" s="0"/>
      <c r="AN79" s="0"/>
      <c r="AO79" s="0"/>
      <c r="AP79" s="0"/>
      <c r="AQ79" s="0"/>
      <c r="AR79" s="0"/>
      <c r="AS79" s="0"/>
      <c r="AT79" s="0"/>
      <c r="AU79" s="0"/>
      <c r="AV79" s="0"/>
      <c r="AW79" s="0"/>
      <c r="AX79" s="0"/>
      <c r="AY79" s="0"/>
      <c r="AZ79" s="0"/>
      <c r="BA79" s="0"/>
      <c r="BB79" s="0"/>
      <c r="BC79" s="0"/>
      <c r="BD79" s="0"/>
      <c r="BE79" s="0"/>
      <c r="BF79" s="0"/>
      <c r="BG79" s="0"/>
      <c r="BH79" s="0"/>
      <c r="BI79" s="0"/>
      <c r="BJ79" s="0"/>
      <c r="BK79" s="0"/>
      <c r="BL79" s="0"/>
      <c r="BM79" s="0"/>
      <c r="BN79" s="0"/>
      <c r="BO79" s="0"/>
      <c r="BP79" s="0"/>
      <c r="BQ79" s="0"/>
      <c r="BR79" s="0"/>
      <c r="BS79" s="0"/>
      <c r="BT79" s="0"/>
      <c r="BU79" s="0"/>
      <c r="BV79" s="0"/>
      <c r="BW79" s="0"/>
      <c r="BX79" s="0"/>
      <c r="BY79" s="0"/>
      <c r="BZ79" s="0"/>
      <c r="CA79" s="0"/>
      <c r="CB79" s="0"/>
      <c r="CC79" s="0"/>
      <c r="CD79" s="0"/>
      <c r="CE79" s="0"/>
      <c r="CF79" s="0"/>
    </row>
    <row r="80" customFormat="false" ht="12.75" hidden="false" customHeight="false" outlineLevel="0" collapsed="false">
      <c r="A80" s="0"/>
      <c r="B80" s="0"/>
      <c r="C80" s="375"/>
      <c r="D80" s="375"/>
      <c r="E80" s="375"/>
      <c r="F80" s="375"/>
      <c r="G80" s="375"/>
      <c r="H80" s="375"/>
      <c r="I80" s="375"/>
      <c r="J80" s="375"/>
      <c r="K80" s="375"/>
      <c r="L80" s="375"/>
      <c r="M80" s="375"/>
      <c r="N80" s="375"/>
      <c r="O80" s="375"/>
      <c r="P80" s="375"/>
      <c r="Q80" s="375"/>
      <c r="R80" s="375"/>
      <c r="S80" s="375"/>
      <c r="T80" s="375"/>
      <c r="U80" s="375"/>
      <c r="V80" s="375"/>
      <c r="W80" s="375"/>
      <c r="X80" s="375"/>
      <c r="Y80" s="375"/>
      <c r="Z80" s="375"/>
      <c r="AA80" s="375"/>
      <c r="AB80" s="375"/>
      <c r="AC80" s="375"/>
      <c r="AD80" s="375"/>
      <c r="AE80" s="375"/>
      <c r="AF80" s="375"/>
      <c r="AG80" s="375"/>
      <c r="AH80" s="0"/>
      <c r="AI80" s="0"/>
      <c r="AJ80" s="0"/>
      <c r="AK80" s="0"/>
      <c r="AL80" s="0"/>
      <c r="AM80" s="0"/>
      <c r="AN80" s="0"/>
      <c r="AO80" s="0"/>
      <c r="AP80" s="0"/>
      <c r="AQ80" s="0"/>
      <c r="AR80" s="0"/>
      <c r="AS80" s="0"/>
      <c r="AT80" s="0"/>
      <c r="AU80" s="0"/>
      <c r="AV80" s="0"/>
      <c r="AW80" s="0"/>
      <c r="AX80" s="0"/>
      <c r="AY80" s="0"/>
      <c r="AZ80" s="0"/>
      <c r="BA80" s="0"/>
      <c r="BB80" s="0"/>
      <c r="BC80" s="0"/>
      <c r="BD80" s="0"/>
      <c r="BE80" s="0"/>
      <c r="BF80" s="0"/>
      <c r="BG80" s="0"/>
      <c r="BH80" s="0"/>
      <c r="BI80" s="0"/>
      <c r="BJ80" s="0"/>
      <c r="BK80" s="0"/>
      <c r="BL80" s="0"/>
      <c r="BM80" s="0"/>
      <c r="BN80" s="0"/>
      <c r="BO80" s="0"/>
      <c r="BP80" s="0"/>
      <c r="BQ80" s="0"/>
      <c r="BR80" s="0"/>
      <c r="BS80" s="0"/>
      <c r="BT80" s="0"/>
      <c r="BU80" s="0"/>
      <c r="BV80" s="0"/>
      <c r="BW80" s="0"/>
      <c r="BX80" s="0"/>
      <c r="BY80" s="0"/>
      <c r="BZ80" s="0"/>
      <c r="CA80" s="0"/>
      <c r="CB80" s="0"/>
      <c r="CC80" s="0"/>
      <c r="CD80" s="0"/>
      <c r="CE80" s="0"/>
      <c r="CF80" s="0"/>
    </row>
    <row r="81" customFormat="false" ht="12.75" hidden="false" customHeight="false" outlineLevel="0" collapsed="false">
      <c r="A81" s="0"/>
      <c r="B81" s="0"/>
      <c r="C81" s="375"/>
      <c r="D81" s="375"/>
      <c r="E81" s="375"/>
      <c r="F81" s="375"/>
      <c r="G81" s="375"/>
      <c r="H81" s="375"/>
      <c r="I81" s="375"/>
      <c r="J81" s="375"/>
      <c r="K81" s="375"/>
      <c r="L81" s="375"/>
      <c r="M81" s="375"/>
      <c r="N81" s="375"/>
      <c r="O81" s="375"/>
      <c r="P81" s="375"/>
      <c r="Q81" s="375"/>
      <c r="R81" s="375"/>
      <c r="S81" s="375"/>
      <c r="T81" s="375"/>
      <c r="U81" s="375"/>
      <c r="V81" s="375"/>
      <c r="W81" s="375"/>
      <c r="X81" s="375"/>
      <c r="Y81" s="375"/>
      <c r="Z81" s="375"/>
      <c r="AA81" s="375"/>
      <c r="AB81" s="375"/>
      <c r="AC81" s="375"/>
      <c r="AD81" s="375"/>
      <c r="AE81" s="375"/>
      <c r="AF81" s="375"/>
      <c r="AG81" s="375"/>
      <c r="AH81" s="0"/>
      <c r="AI81" s="0"/>
      <c r="AJ81" s="0"/>
      <c r="AK81" s="0"/>
      <c r="AL81" s="0"/>
      <c r="AM81" s="0"/>
      <c r="AN81" s="0"/>
      <c r="AO81" s="0"/>
      <c r="AP81" s="0"/>
      <c r="AQ81" s="0"/>
      <c r="AR81" s="0"/>
      <c r="AS81" s="0"/>
      <c r="AT81" s="0"/>
      <c r="AU81" s="0"/>
      <c r="AV81" s="0"/>
      <c r="AW81" s="0"/>
      <c r="AX81" s="0"/>
      <c r="AY81" s="0"/>
      <c r="AZ81" s="0"/>
      <c r="BA81" s="0"/>
      <c r="BB81" s="0"/>
      <c r="BC81" s="0"/>
      <c r="BD81" s="0"/>
      <c r="BE81" s="0"/>
      <c r="BF81" s="0"/>
      <c r="BG81" s="0"/>
      <c r="BH81" s="0"/>
      <c r="BI81" s="0"/>
      <c r="BJ81" s="0"/>
      <c r="BK81" s="0"/>
      <c r="BL81" s="0"/>
      <c r="BM81" s="0"/>
      <c r="BN81" s="0"/>
      <c r="BO81" s="0"/>
      <c r="BP81" s="0"/>
      <c r="BQ81" s="0"/>
      <c r="BR81" s="0"/>
      <c r="BS81" s="0"/>
      <c r="BT81" s="0"/>
      <c r="BU81" s="0"/>
      <c r="BV81" s="0"/>
      <c r="BW81" s="0"/>
      <c r="BX81" s="0"/>
      <c r="BY81" s="0"/>
      <c r="BZ81" s="0"/>
      <c r="CA81" s="0"/>
      <c r="CB81" s="0"/>
      <c r="CC81" s="0"/>
      <c r="CD81" s="0"/>
      <c r="CE81" s="0"/>
      <c r="CF81" s="0"/>
    </row>
    <row r="82" customFormat="false" ht="12.75" hidden="false" customHeight="false" outlineLevel="0" collapsed="false">
      <c r="A82" s="0"/>
      <c r="B82" s="0"/>
      <c r="C82" s="375"/>
      <c r="D82" s="375"/>
      <c r="E82" s="375"/>
      <c r="F82" s="375"/>
      <c r="G82" s="375"/>
      <c r="H82" s="375"/>
      <c r="I82" s="375"/>
      <c r="J82" s="375"/>
      <c r="K82" s="375"/>
      <c r="L82" s="375"/>
      <c r="M82" s="375"/>
      <c r="N82" s="375"/>
      <c r="O82" s="375"/>
      <c r="P82" s="375"/>
      <c r="Q82" s="375"/>
      <c r="R82" s="375"/>
      <c r="S82" s="375"/>
      <c r="T82" s="375"/>
      <c r="U82" s="375"/>
      <c r="V82" s="375"/>
      <c r="W82" s="375"/>
      <c r="X82" s="375"/>
      <c r="Y82" s="375"/>
      <c r="Z82" s="375"/>
      <c r="AA82" s="375"/>
      <c r="AB82" s="375"/>
      <c r="AC82" s="375"/>
      <c r="AD82" s="375"/>
      <c r="AE82" s="375"/>
      <c r="AF82" s="375"/>
      <c r="AG82" s="375"/>
      <c r="AH82" s="0"/>
      <c r="AI82" s="0"/>
      <c r="AJ82" s="0"/>
      <c r="AK82" s="0"/>
      <c r="AL82" s="0"/>
      <c r="AM82" s="0"/>
      <c r="AN82" s="0"/>
      <c r="AO82" s="0"/>
      <c r="AP82" s="0"/>
      <c r="AQ82" s="0"/>
      <c r="AR82" s="0"/>
      <c r="AS82" s="0"/>
      <c r="AT82" s="0"/>
      <c r="AU82" s="0"/>
      <c r="AV82" s="0"/>
      <c r="AW82" s="0"/>
      <c r="AX82" s="0"/>
      <c r="AY82" s="0"/>
      <c r="AZ82" s="0"/>
      <c r="BA82" s="0"/>
      <c r="BB82" s="0"/>
      <c r="BC82" s="0"/>
      <c r="BD82" s="0"/>
      <c r="BE82" s="0"/>
      <c r="BF82" s="0"/>
      <c r="BG82" s="0"/>
      <c r="BH82" s="0"/>
      <c r="BI82" s="0"/>
      <c r="BJ82" s="0"/>
      <c r="BK82" s="0"/>
      <c r="BL82" s="0"/>
      <c r="BM82" s="0"/>
      <c r="BN82" s="0"/>
      <c r="BO82" s="0"/>
      <c r="BP82" s="0"/>
      <c r="BQ82" s="0"/>
      <c r="BR82" s="0"/>
      <c r="BS82" s="0"/>
      <c r="BT82" s="0"/>
      <c r="BU82" s="0"/>
      <c r="BV82" s="0"/>
      <c r="BW82" s="0"/>
      <c r="BX82" s="0"/>
      <c r="BY82" s="0"/>
      <c r="BZ82" s="0"/>
      <c r="CA82" s="0"/>
      <c r="CB82" s="0"/>
      <c r="CC82" s="0"/>
      <c r="CD82" s="0"/>
      <c r="CE82" s="0"/>
      <c r="CF82" s="0"/>
    </row>
    <row r="83" customFormat="false" ht="12.75" hidden="false" customHeight="false" outlineLevel="0" collapsed="false">
      <c r="A83" s="0"/>
      <c r="B83" s="0"/>
      <c r="C83" s="375"/>
      <c r="D83" s="375"/>
      <c r="E83" s="375"/>
      <c r="F83" s="375"/>
      <c r="G83" s="375"/>
      <c r="H83" s="375"/>
      <c r="I83" s="375"/>
      <c r="J83" s="375"/>
      <c r="K83" s="375"/>
      <c r="L83" s="375"/>
      <c r="M83" s="375"/>
      <c r="N83" s="375"/>
      <c r="O83" s="375"/>
      <c r="P83" s="375"/>
      <c r="Q83" s="375"/>
      <c r="R83" s="375"/>
      <c r="S83" s="375"/>
      <c r="T83" s="375"/>
      <c r="U83" s="375"/>
      <c r="V83" s="375"/>
      <c r="W83" s="375"/>
      <c r="X83" s="375"/>
      <c r="Y83" s="375"/>
      <c r="Z83" s="375"/>
      <c r="AA83" s="375"/>
      <c r="AB83" s="375"/>
      <c r="AC83" s="375"/>
      <c r="AD83" s="375"/>
      <c r="AE83" s="375"/>
      <c r="AF83" s="375"/>
      <c r="AG83" s="375"/>
      <c r="AH83" s="0"/>
      <c r="AI83" s="0"/>
      <c r="AJ83" s="0"/>
      <c r="AK83" s="0"/>
      <c r="AL83" s="0"/>
      <c r="AM83" s="0"/>
      <c r="AN83" s="0"/>
      <c r="AO83" s="0"/>
      <c r="AP83" s="0"/>
      <c r="AQ83" s="0"/>
      <c r="AR83" s="0"/>
      <c r="AS83" s="0"/>
      <c r="AT83" s="0"/>
      <c r="AU83" s="0"/>
      <c r="AV83" s="0"/>
      <c r="AW83" s="0"/>
      <c r="AX83" s="0"/>
      <c r="AY83" s="0"/>
      <c r="AZ83" s="0"/>
      <c r="BA83" s="0"/>
      <c r="BB83" s="0"/>
      <c r="BC83" s="0"/>
      <c r="BD83" s="0"/>
      <c r="BE83" s="0"/>
      <c r="BF83" s="0"/>
      <c r="BG83" s="0"/>
      <c r="BH83" s="0"/>
      <c r="BI83" s="0"/>
      <c r="BJ83" s="0"/>
      <c r="BK83" s="0"/>
      <c r="BL83" s="0"/>
      <c r="BM83" s="0"/>
      <c r="BN83" s="0"/>
      <c r="BO83" s="0"/>
      <c r="BP83" s="0"/>
      <c r="BQ83" s="0"/>
      <c r="BR83" s="0"/>
      <c r="BS83" s="0"/>
      <c r="BT83" s="0"/>
      <c r="BU83" s="0"/>
      <c r="BV83" s="0"/>
      <c r="BW83" s="0"/>
      <c r="BX83" s="0"/>
      <c r="BY83" s="0"/>
      <c r="BZ83" s="0"/>
      <c r="CA83" s="0"/>
      <c r="CB83" s="0"/>
      <c r="CC83" s="0"/>
      <c r="CD83" s="0"/>
      <c r="CE83" s="0"/>
      <c r="CF83" s="0"/>
    </row>
    <row r="84" customFormat="false" ht="12.75" hidden="false" customHeight="false" outlineLevel="0" collapsed="false">
      <c r="A84" s="0"/>
      <c r="B84" s="0"/>
      <c r="C84" s="375"/>
      <c r="D84" s="375"/>
      <c r="E84" s="375"/>
      <c r="F84" s="375"/>
      <c r="G84" s="375"/>
      <c r="H84" s="375"/>
      <c r="I84" s="375"/>
      <c r="J84" s="375"/>
      <c r="K84" s="375"/>
      <c r="L84" s="375"/>
      <c r="M84" s="375"/>
      <c r="N84" s="375"/>
      <c r="O84" s="375"/>
      <c r="P84" s="375"/>
      <c r="Q84" s="375"/>
      <c r="R84" s="375"/>
      <c r="S84" s="375"/>
      <c r="T84" s="375"/>
      <c r="U84" s="375"/>
      <c r="V84" s="375"/>
      <c r="W84" s="375"/>
      <c r="X84" s="375"/>
      <c r="Y84" s="375"/>
      <c r="Z84" s="375"/>
      <c r="AA84" s="375"/>
      <c r="AB84" s="375"/>
      <c r="AC84" s="375"/>
      <c r="AD84" s="375"/>
      <c r="AE84" s="375"/>
      <c r="AF84" s="375"/>
      <c r="AG84" s="375"/>
      <c r="AH84" s="0"/>
      <c r="AI84" s="0"/>
      <c r="AJ84" s="0"/>
      <c r="AK84" s="0"/>
      <c r="AL84" s="0"/>
      <c r="AM84" s="0"/>
      <c r="AN84" s="0"/>
      <c r="AO84" s="0"/>
      <c r="AP84" s="0"/>
      <c r="AQ84" s="0"/>
      <c r="AR84" s="0"/>
      <c r="AS84" s="0"/>
      <c r="AT84" s="0"/>
      <c r="AU84" s="0"/>
      <c r="AV84" s="0"/>
      <c r="AW84" s="0"/>
      <c r="AX84" s="0"/>
      <c r="AY84" s="0"/>
      <c r="AZ84" s="0"/>
      <c r="BA84" s="0"/>
      <c r="BB84" s="0"/>
      <c r="BC84" s="0"/>
      <c r="BD84" s="0"/>
      <c r="BE84" s="0"/>
      <c r="BF84" s="0"/>
      <c r="BG84" s="0"/>
      <c r="BH84" s="0"/>
      <c r="BI84" s="0"/>
      <c r="BJ84" s="0"/>
      <c r="BK84" s="0"/>
      <c r="BL84" s="0"/>
      <c r="BM84" s="0"/>
      <c r="BN84" s="0"/>
      <c r="BO84" s="0"/>
      <c r="BP84" s="0"/>
      <c r="BQ84" s="0"/>
      <c r="BR84" s="0"/>
      <c r="BS84" s="0"/>
      <c r="BT84" s="0"/>
      <c r="BU84" s="0"/>
      <c r="BV84" s="0"/>
      <c r="BW84" s="0"/>
      <c r="BX84" s="0"/>
      <c r="BY84" s="0"/>
      <c r="BZ84" s="0"/>
      <c r="CA84" s="0"/>
      <c r="CB84" s="0"/>
      <c r="CC84" s="0"/>
      <c r="CD84" s="0"/>
      <c r="CE84" s="0"/>
      <c r="CF84" s="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37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&amp;L&amp;T, &amp;D&amp;C&amp;F&amp;R&amp;P 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56"/>
  <sheetViews>
    <sheetView showFormulas="false" showGridLines="false" showRowColHeaders="true" showZeros="true" rightToLeft="false" tabSelected="true" showOutlineSymbols="true" defaultGridColor="true" view="normal" topLeftCell="A97" colorId="64" zoomScale="75" zoomScaleNormal="75" zoomScalePageLayoutView="100" workbookViewId="0">
      <selection pane="topLeft" activeCell="C110" activeCellId="0" sqref="C110"/>
    </sheetView>
  </sheetViews>
  <sheetFormatPr defaultColWidth="9.13671875" defaultRowHeight="12.75" customHeight="true" zeroHeight="false" outlineLevelRow="1" outlineLevelCol="0"/>
  <cols>
    <col collapsed="false" customWidth="true" hidden="false" outlineLevel="0" max="1" min="1" style="1" width="35.99"/>
    <col collapsed="false" customWidth="true" hidden="false" outlineLevel="0" max="2" min="2" style="1" width="18.41"/>
    <col collapsed="false" customWidth="true" hidden="false" outlineLevel="0" max="6" min="3" style="1" width="14.56"/>
    <col collapsed="false" customWidth="true" hidden="false" outlineLevel="0" max="7" min="7" style="1" width="17.56"/>
    <col collapsed="false" customWidth="true" hidden="false" outlineLevel="0" max="8" min="8" style="1" width="16.13"/>
    <col collapsed="false" customWidth="true" hidden="false" outlineLevel="0" max="9" min="9" style="1" width="16.28"/>
    <col collapsed="false" customWidth="true" hidden="false" outlineLevel="0" max="22" min="10" style="1" width="14.56"/>
    <col collapsed="false" customWidth="true" hidden="false" outlineLevel="0" max="42" min="23" style="1" width="14.41"/>
    <col collapsed="false" customWidth="false" hidden="false" outlineLevel="0" max="257" min="43" style="1" width="9.14"/>
  </cols>
  <sheetData>
    <row r="1" customFormat="false" ht="18.75" hidden="false" customHeight="false" outlineLevel="1" collapsed="false">
      <c r="A1" s="425"/>
    </row>
    <row r="2" customFormat="false" ht="18.75" hidden="false" customHeight="false" outlineLevel="1" collapsed="false">
      <c r="A2" s="425"/>
    </row>
    <row r="3" customFormat="false" ht="12.75" hidden="false" customHeight="false" outlineLevel="1" collapsed="false"/>
    <row r="4" customFormat="false" ht="15.75" hidden="false" customHeight="false" outlineLevel="1" collapsed="false">
      <c r="A4" s="426"/>
      <c r="C4" s="427" t="s">
        <v>169</v>
      </c>
      <c r="D4" s="427"/>
      <c r="E4" s="427"/>
      <c r="F4" s="427"/>
      <c r="I4" s="427" t="s">
        <v>170</v>
      </c>
      <c r="J4" s="427"/>
      <c r="K4" s="427"/>
      <c r="L4" s="427"/>
      <c r="O4" s="427" t="s">
        <v>171</v>
      </c>
      <c r="P4" s="427"/>
      <c r="Q4" s="427"/>
      <c r="R4" s="427"/>
    </row>
    <row r="5" customFormat="false" ht="12.75" hidden="false" customHeight="false" outlineLevel="1" collapsed="false">
      <c r="A5" s="426"/>
      <c r="C5" s="428" t="s">
        <v>337</v>
      </c>
      <c r="D5" s="429"/>
      <c r="E5" s="429"/>
      <c r="F5" s="430" t="n">
        <f aca="false">Assumptions!C66</f>
        <v>0.0683</v>
      </c>
      <c r="G5" s="431"/>
      <c r="H5" s="114"/>
      <c r="I5" s="432" t="s">
        <v>338</v>
      </c>
      <c r="J5" s="331"/>
      <c r="K5" s="331"/>
      <c r="L5" s="430" t="n">
        <f aca="false">Assumptions!D66</f>
        <v>0</v>
      </c>
      <c r="M5" s="114"/>
      <c r="N5" s="114"/>
      <c r="O5" s="432" t="s">
        <v>339</v>
      </c>
      <c r="P5" s="331"/>
      <c r="Q5" s="331"/>
      <c r="R5" s="430" t="n">
        <f aca="false">Assumptions!E66</f>
        <v>0</v>
      </c>
      <c r="S5" s="114"/>
      <c r="T5" s="114"/>
      <c r="U5" s="114"/>
      <c r="V5" s="114"/>
      <c r="W5" s="114"/>
      <c r="X5" s="114"/>
      <c r="Y5" s="114"/>
      <c r="Z5" s="114"/>
      <c r="AA5" s="114"/>
      <c r="AB5" s="114"/>
      <c r="AC5" s="114"/>
      <c r="AD5" s="114"/>
      <c r="AE5" s="114"/>
      <c r="AF5" s="114"/>
    </row>
    <row r="6" customFormat="false" ht="12.75" hidden="false" customHeight="false" outlineLevel="1" collapsed="false">
      <c r="A6" s="426"/>
      <c r="C6" s="428" t="s">
        <v>340</v>
      </c>
      <c r="D6" s="429"/>
      <c r="E6" s="429"/>
      <c r="F6" s="430" t="n">
        <f aca="false">Assumptions!C67</f>
        <v>0.01</v>
      </c>
      <c r="G6" s="114"/>
      <c r="H6" s="114"/>
      <c r="I6" s="432" t="s">
        <v>341</v>
      </c>
      <c r="J6" s="331"/>
      <c r="K6" s="331"/>
      <c r="L6" s="430" t="n">
        <f aca="false">Assumptions!D67</f>
        <v>0</v>
      </c>
      <c r="M6" s="114"/>
      <c r="N6" s="114"/>
      <c r="O6" s="432" t="s">
        <v>341</v>
      </c>
      <c r="P6" s="331"/>
      <c r="Q6" s="331"/>
      <c r="R6" s="430" t="n">
        <f aca="false">Assumptions!E67</f>
        <v>0</v>
      </c>
      <c r="S6" s="114"/>
      <c r="T6" s="114"/>
      <c r="U6" s="114"/>
      <c r="V6" s="114"/>
      <c r="W6" s="114"/>
      <c r="X6" s="114"/>
      <c r="Y6" s="114"/>
      <c r="Z6" s="114"/>
      <c r="AA6" s="114"/>
      <c r="AB6" s="114"/>
      <c r="AC6" s="114"/>
      <c r="AD6" s="114"/>
      <c r="AE6" s="114"/>
      <c r="AF6" s="114"/>
    </row>
    <row r="7" customFormat="false" ht="12.75" hidden="false" customHeight="false" outlineLevel="1" collapsed="false">
      <c r="A7" s="426"/>
      <c r="C7" s="433" t="s">
        <v>342</v>
      </c>
      <c r="D7" s="434"/>
      <c r="E7" s="434"/>
      <c r="F7" s="435" t="n">
        <f aca="false">F6+F5</f>
        <v>0.0783</v>
      </c>
      <c r="I7" s="433" t="s">
        <v>342</v>
      </c>
      <c r="J7" s="434"/>
      <c r="K7" s="434"/>
      <c r="L7" s="435" t="n">
        <f aca="false">L5+L6</f>
        <v>0</v>
      </c>
      <c r="O7" s="433" t="s">
        <v>342</v>
      </c>
      <c r="P7" s="434"/>
      <c r="Q7" s="434"/>
      <c r="R7" s="435" t="n">
        <f aca="false">R5+R6</f>
        <v>0</v>
      </c>
    </row>
    <row r="8" customFormat="false" ht="15.75" hidden="false" customHeight="false" outlineLevel="1" collapsed="false">
      <c r="A8" s="426"/>
      <c r="C8" s="436" t="s">
        <v>343</v>
      </c>
      <c r="D8" s="437"/>
      <c r="E8" s="438"/>
      <c r="F8" s="439" t="n">
        <f aca="false">(Assumptions!C54-Assumptions!C48)/365.25</f>
        <v>17.9958932238193</v>
      </c>
      <c r="I8" s="436" t="s">
        <v>344</v>
      </c>
      <c r="J8" s="440"/>
      <c r="K8" s="440"/>
      <c r="L8" s="439" t="n">
        <f aca="false">(Assumptions!D54-Assumptions!C48)/365.25</f>
        <v>-100.585900068446</v>
      </c>
      <c r="O8" s="436" t="s">
        <v>344</v>
      </c>
      <c r="P8" s="440"/>
      <c r="Q8" s="440"/>
      <c r="R8" s="439" t="n">
        <f aca="false">(Assumptions!E54-Assumptions!C48)/365.25</f>
        <v>-100.585900068446</v>
      </c>
    </row>
    <row r="9" customFormat="false" ht="15.75" hidden="false" customHeight="false" outlineLevel="1" collapsed="false">
      <c r="A9" s="426"/>
      <c r="C9" s="441" t="s">
        <v>345</v>
      </c>
      <c r="D9" s="442"/>
      <c r="E9" s="442"/>
      <c r="F9" s="443" t="n">
        <f aca="false">B140</f>
        <v>11.8204319606154</v>
      </c>
      <c r="I9" s="441" t="s">
        <v>346</v>
      </c>
      <c r="J9" s="444"/>
      <c r="K9" s="444"/>
      <c r="L9" s="443" t="e">
        <f aca="false">B141</f>
        <v>#DIV/0!</v>
      </c>
      <c r="O9" s="441" t="s">
        <v>347</v>
      </c>
      <c r="P9" s="444"/>
      <c r="Q9" s="444"/>
      <c r="R9" s="443" t="e">
        <f aca="false">B142</f>
        <v>#DIV/0!</v>
      </c>
    </row>
    <row r="10" customFormat="false" ht="12.75" hidden="false" customHeight="false" outlineLevel="1" collapsed="false">
      <c r="A10" s="426"/>
      <c r="C10" s="445" t="s">
        <v>348</v>
      </c>
      <c r="D10" s="446"/>
      <c r="E10" s="446"/>
      <c r="F10" s="447" t="n">
        <f aca="false">Assumptions!C52</f>
        <v>79074.242256281</v>
      </c>
      <c r="G10" s="114"/>
      <c r="H10" s="114"/>
      <c r="I10" s="448" t="s">
        <v>348</v>
      </c>
      <c r="J10" s="449"/>
      <c r="K10" s="449"/>
      <c r="L10" s="447" t="n">
        <f aca="false">Assumptions!D52</f>
        <v>0</v>
      </c>
      <c r="M10" s="114"/>
      <c r="N10" s="114"/>
      <c r="O10" s="448" t="s">
        <v>348</v>
      </c>
      <c r="P10" s="449"/>
      <c r="Q10" s="449"/>
      <c r="R10" s="447" t="n">
        <f aca="false">Assumptions!E52</f>
        <v>0</v>
      </c>
      <c r="S10" s="114"/>
      <c r="T10" s="114"/>
    </row>
    <row r="11" customFormat="false" ht="12.75" hidden="false" customHeight="false" outlineLevel="1" collapsed="false">
      <c r="A11" s="426"/>
      <c r="C11" s="450"/>
      <c r="D11" s="429"/>
      <c r="E11" s="429"/>
      <c r="F11" s="451"/>
      <c r="I11" s="450"/>
      <c r="J11" s="450"/>
      <c r="K11" s="450"/>
      <c r="L11" s="451"/>
      <c r="O11" s="450"/>
      <c r="P11" s="450"/>
      <c r="Q11" s="450"/>
      <c r="R11" s="0"/>
    </row>
    <row r="12" customFormat="false" ht="12.75" hidden="false" customHeight="false" outlineLevel="1" collapsed="false">
      <c r="A12" s="426"/>
      <c r="B12" s="452"/>
      <c r="C12" s="450"/>
      <c r="D12" s="429"/>
      <c r="E12" s="429"/>
      <c r="F12" s="451"/>
      <c r="I12" s="450"/>
      <c r="J12" s="450"/>
      <c r="K12" s="450"/>
      <c r="L12" s="451"/>
      <c r="O12" s="450"/>
      <c r="P12" s="450"/>
      <c r="Q12" s="450"/>
      <c r="R12" s="0"/>
    </row>
    <row r="13" customFormat="false" ht="12.75" hidden="false" customHeight="false" outlineLevel="1" collapsed="false">
      <c r="A13" s="426"/>
      <c r="B13" s="452"/>
      <c r="C13" s="453"/>
      <c r="D13" s="453"/>
      <c r="E13" s="453"/>
      <c r="F13" s="453"/>
      <c r="G13" s="453"/>
      <c r="H13" s="453"/>
      <c r="I13" s="453"/>
      <c r="J13" s="453"/>
      <c r="K13" s="453"/>
      <c r="L13" s="453"/>
      <c r="M13" s="453"/>
      <c r="N13" s="453"/>
      <c r="O13" s="453"/>
      <c r="P13" s="453"/>
      <c r="Q13" s="453"/>
      <c r="R13" s="453"/>
      <c r="S13" s="453"/>
      <c r="T13" s="453"/>
      <c r="U13" s="453"/>
      <c r="V13" s="453"/>
    </row>
    <row r="14" customFormat="false" ht="12.75" hidden="false" customHeight="false" outlineLevel="1" collapsed="false">
      <c r="A14" s="426"/>
      <c r="B14" s="452"/>
      <c r="C14" s="453"/>
      <c r="D14" s="453"/>
      <c r="E14" s="453"/>
      <c r="F14" s="453"/>
      <c r="G14" s="453"/>
      <c r="H14" s="453"/>
      <c r="I14" s="453"/>
      <c r="J14" s="453"/>
      <c r="K14" s="453"/>
      <c r="L14" s="453"/>
      <c r="M14" s="453"/>
      <c r="N14" s="453"/>
      <c r="O14" s="453"/>
      <c r="P14" s="453"/>
      <c r="Q14" s="453"/>
      <c r="R14" s="453"/>
      <c r="S14" s="453"/>
      <c r="T14" s="453"/>
      <c r="U14" s="453"/>
      <c r="V14" s="453"/>
    </row>
    <row r="15" customFormat="false" ht="12.75" hidden="false" customHeight="false" outlineLevel="1" collapsed="false">
      <c r="A15" s="426"/>
      <c r="C15" s="450"/>
      <c r="D15" s="429"/>
      <c r="E15" s="429"/>
      <c r="F15" s="451"/>
      <c r="I15" s="450"/>
      <c r="J15" s="450"/>
      <c r="K15" s="450"/>
      <c r="L15" s="451"/>
      <c r="O15" s="450"/>
      <c r="P15" s="450"/>
      <c r="Q15" s="450"/>
      <c r="R15" s="0"/>
    </row>
    <row r="16" customFormat="false" ht="12.75" hidden="false" customHeight="false" outlineLevel="1" collapsed="false">
      <c r="A16" s="426"/>
      <c r="C16" s="454" t="s">
        <v>349</v>
      </c>
      <c r="D16" s="429"/>
      <c r="E16" s="450"/>
      <c r="F16" s="455" t="n">
        <f aca="false">-PMT(Assumptions!$C$68/2,Assumptions!$C$61,Assumptions!$C$52,,0)</f>
        <v>4187.82571517664</v>
      </c>
      <c r="I16" s="450"/>
      <c r="J16" s="450"/>
      <c r="K16" s="450"/>
      <c r="L16" s="451"/>
      <c r="O16" s="450"/>
      <c r="P16" s="450"/>
      <c r="Q16" s="450"/>
      <c r="R16" s="451"/>
    </row>
    <row r="17" customFormat="false" ht="12.75" hidden="false" customHeight="false" outlineLevel="1" collapsed="false">
      <c r="A17" s="426"/>
      <c r="C17" s="454"/>
      <c r="D17" s="429"/>
      <c r="E17" s="450"/>
      <c r="F17" s="0"/>
      <c r="I17" s="450"/>
      <c r="J17" s="450"/>
      <c r="K17" s="450"/>
      <c r="L17" s="451"/>
      <c r="O17" s="450"/>
      <c r="P17" s="450"/>
      <c r="Q17" s="450"/>
      <c r="R17" s="0"/>
    </row>
    <row r="18" customFormat="false" ht="18.75" hidden="false" customHeight="false" outlineLevel="0" collapsed="false">
      <c r="A18" s="456" t="str">
        <f aca="false">Assumptions!B3</f>
        <v>PROJECT NAME: SANTEE COOPER</v>
      </c>
      <c r="C18" s="450"/>
      <c r="D18" s="429"/>
      <c r="E18" s="429"/>
      <c r="F18" s="451"/>
      <c r="G18" s="114"/>
      <c r="H18" s="114"/>
      <c r="I18" s="329"/>
      <c r="J18" s="329"/>
      <c r="K18" s="329"/>
      <c r="L18" s="451"/>
      <c r="M18" s="114"/>
      <c r="N18" s="114"/>
      <c r="O18" s="329"/>
      <c r="P18" s="329"/>
      <c r="Q18" s="329"/>
      <c r="R18" s="451"/>
      <c r="S18" s="114"/>
      <c r="T18" s="114"/>
      <c r="U18" s="114"/>
      <c r="V18" s="114"/>
      <c r="W18" s="114"/>
      <c r="X18" s="114"/>
      <c r="Y18" s="114"/>
      <c r="Z18" s="114"/>
      <c r="AA18" s="114"/>
      <c r="AB18" s="114"/>
      <c r="AC18" s="114"/>
      <c r="AD18" s="114"/>
      <c r="AE18" s="114"/>
      <c r="AF18" s="114"/>
    </row>
    <row r="19" customFormat="false" ht="12.75" hidden="false" customHeight="false" outlineLevel="0" collapsed="false">
      <c r="A19" s="426"/>
      <c r="C19" s="450"/>
      <c r="D19" s="429"/>
      <c r="E19" s="429"/>
      <c r="F19" s="451"/>
      <c r="G19" s="114"/>
      <c r="H19" s="114"/>
      <c r="I19" s="329"/>
      <c r="J19" s="329"/>
      <c r="K19" s="329"/>
      <c r="L19" s="451"/>
      <c r="M19" s="114"/>
      <c r="N19" s="114"/>
      <c r="O19" s="329"/>
      <c r="P19" s="329"/>
      <c r="Q19" s="329"/>
      <c r="R19" s="451"/>
      <c r="S19" s="114"/>
      <c r="T19" s="114"/>
      <c r="U19" s="114"/>
      <c r="V19" s="114"/>
      <c r="W19" s="114"/>
      <c r="X19" s="114"/>
      <c r="Y19" s="114"/>
      <c r="Z19" s="114"/>
      <c r="AA19" s="114"/>
      <c r="AB19" s="114"/>
      <c r="AC19" s="114"/>
      <c r="AD19" s="114"/>
      <c r="AE19" s="114"/>
      <c r="AF19" s="114"/>
    </row>
    <row r="20" customFormat="false" ht="18.75" hidden="false" customHeight="false" outlineLevel="0" collapsed="false">
      <c r="A20" s="323" t="s">
        <v>350</v>
      </c>
      <c r="B20" s="330"/>
      <c r="C20" s="457"/>
      <c r="D20" s="458"/>
      <c r="E20" s="458"/>
      <c r="F20" s="458"/>
      <c r="G20" s="458"/>
      <c r="H20" s="458"/>
      <c r="I20" s="458"/>
      <c r="J20" s="458"/>
      <c r="K20" s="458"/>
      <c r="L20" s="458"/>
      <c r="M20" s="458"/>
      <c r="N20" s="458"/>
      <c r="O20" s="458"/>
      <c r="P20" s="458"/>
      <c r="Q20" s="458"/>
      <c r="R20" s="458"/>
      <c r="S20" s="458"/>
      <c r="T20" s="458"/>
      <c r="U20" s="458"/>
      <c r="V20" s="458"/>
      <c r="W20" s="458"/>
      <c r="X20" s="458"/>
      <c r="Y20" s="458"/>
      <c r="Z20" s="458"/>
      <c r="AA20" s="458"/>
      <c r="AB20" s="458"/>
      <c r="AC20" s="458"/>
      <c r="AD20" s="458"/>
      <c r="AE20" s="458"/>
      <c r="AF20" s="458"/>
      <c r="AG20" s="458"/>
      <c r="AH20" s="458"/>
      <c r="AI20" s="458"/>
      <c r="AJ20" s="458"/>
      <c r="AK20" s="458"/>
      <c r="AL20" s="458"/>
    </row>
    <row r="21" customFormat="false" ht="12.75" hidden="false" customHeight="false" outlineLevel="0" collapsed="false">
      <c r="A21" s="329"/>
      <c r="B21" s="459"/>
      <c r="C21" s="459"/>
      <c r="D21" s="459"/>
      <c r="E21" s="45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39"/>
      <c r="AK21" s="39"/>
      <c r="AL21" s="39"/>
      <c r="AM21" s="39"/>
      <c r="AN21" s="39"/>
      <c r="AO21" s="39"/>
      <c r="AP21" s="39"/>
      <c r="AQ21" s="39"/>
      <c r="AR21" s="39"/>
      <c r="AS21" s="39"/>
      <c r="AT21" s="39"/>
      <c r="AU21" s="39"/>
      <c r="AV21" s="39"/>
      <c r="AW21" s="39"/>
      <c r="AX21" s="39"/>
      <c r="AY21" s="39"/>
      <c r="AZ21" s="39"/>
      <c r="BA21" s="39"/>
      <c r="BB21" s="39"/>
      <c r="BC21" s="39"/>
      <c r="BD21" s="39"/>
      <c r="BE21" s="39"/>
      <c r="BF21" s="39"/>
      <c r="BG21" s="39"/>
      <c r="BH21" s="39"/>
      <c r="BI21" s="39"/>
      <c r="BJ21" s="39"/>
      <c r="BK21" s="39"/>
      <c r="BL21" s="39"/>
      <c r="BM21" s="39"/>
      <c r="BN21" s="39"/>
      <c r="BO21" s="39"/>
      <c r="BP21" s="39"/>
      <c r="BQ21" s="39"/>
      <c r="BR21" s="39"/>
      <c r="BS21" s="39"/>
      <c r="BT21" s="39"/>
      <c r="BU21" s="39"/>
      <c r="BV21" s="39"/>
      <c r="BW21" s="39"/>
      <c r="BX21" s="39"/>
      <c r="BY21" s="39"/>
      <c r="BZ21" s="39"/>
      <c r="CA21" s="39"/>
      <c r="CB21" s="39"/>
      <c r="CC21" s="39"/>
      <c r="CD21" s="39"/>
      <c r="CE21" s="39"/>
      <c r="CF21" s="39"/>
      <c r="CG21" s="39"/>
      <c r="CH21" s="39"/>
      <c r="CI21" s="39"/>
      <c r="CJ21" s="39"/>
      <c r="CK21" s="39"/>
      <c r="CL21" s="39"/>
      <c r="CM21" s="39"/>
      <c r="CN21" s="39"/>
      <c r="CO21" s="39"/>
      <c r="CP21" s="39"/>
      <c r="CQ21" s="39"/>
      <c r="CR21" s="39"/>
      <c r="CS21" s="39"/>
      <c r="CT21" s="39"/>
      <c r="CU21" s="39"/>
      <c r="CV21" s="39"/>
      <c r="CW21" s="39"/>
      <c r="CX21" s="39"/>
      <c r="CY21" s="39"/>
      <c r="CZ21" s="39"/>
      <c r="DA21" s="39"/>
      <c r="DB21" s="39"/>
      <c r="DC21" s="39"/>
      <c r="DD21" s="39"/>
      <c r="DE21" s="39"/>
      <c r="DF21" s="39"/>
      <c r="DG21" s="39"/>
      <c r="DH21" s="39"/>
      <c r="DI21" s="39"/>
      <c r="DJ21" s="39"/>
      <c r="DK21" s="39"/>
      <c r="DL21" s="39"/>
      <c r="DM21" s="39"/>
      <c r="DN21" s="39"/>
      <c r="DO21" s="39"/>
      <c r="DP21" s="39"/>
      <c r="DQ21" s="39"/>
      <c r="DR21" s="39"/>
      <c r="DS21" s="39"/>
      <c r="DT21" s="39"/>
      <c r="DU21" s="39"/>
      <c r="DV21" s="39"/>
      <c r="DW21" s="39"/>
      <c r="DX21" s="39"/>
      <c r="DY21" s="39"/>
      <c r="DZ21" s="39"/>
      <c r="EA21" s="39"/>
      <c r="EB21" s="39"/>
      <c r="EC21" s="39"/>
      <c r="ED21" s="39"/>
      <c r="EE21" s="39"/>
      <c r="EF21" s="39"/>
      <c r="EG21" s="39"/>
      <c r="EH21" s="39"/>
      <c r="EI21" s="39"/>
      <c r="EJ21" s="39"/>
      <c r="EK21" s="39"/>
      <c r="EL21" s="39"/>
      <c r="EM21" s="39"/>
      <c r="EN21" s="39"/>
      <c r="EO21" s="39"/>
      <c r="EP21" s="39"/>
      <c r="EQ21" s="39"/>
      <c r="ER21" s="39"/>
      <c r="ES21" s="39"/>
      <c r="ET21" s="39"/>
      <c r="EU21" s="39"/>
      <c r="EV21" s="39"/>
      <c r="EW21" s="39"/>
      <c r="EX21" s="39"/>
      <c r="EY21" s="39"/>
      <c r="EZ21" s="39"/>
      <c r="FA21" s="39"/>
      <c r="FB21" s="39"/>
      <c r="FC21" s="39"/>
      <c r="FD21" s="39"/>
      <c r="FE21" s="39"/>
      <c r="FF21" s="39"/>
      <c r="FG21" s="39"/>
      <c r="FH21" s="39"/>
      <c r="FI21" s="39"/>
      <c r="FJ21" s="39"/>
      <c r="FK21" s="39"/>
      <c r="FL21" s="39"/>
      <c r="FM21" s="39"/>
      <c r="FN21" s="39"/>
      <c r="FO21" s="39"/>
      <c r="FP21" s="39"/>
      <c r="FQ21" s="39"/>
      <c r="FR21" s="39"/>
      <c r="FS21" s="39"/>
      <c r="FT21" s="39"/>
      <c r="FU21" s="39"/>
      <c r="FV21" s="39"/>
      <c r="FW21" s="39"/>
      <c r="FX21" s="39"/>
      <c r="FY21" s="39"/>
      <c r="FZ21" s="39"/>
      <c r="GA21" s="39"/>
      <c r="GB21" s="39"/>
      <c r="GC21" s="39"/>
      <c r="GD21" s="39"/>
      <c r="GE21" s="39"/>
      <c r="GF21" s="39"/>
      <c r="GG21" s="39"/>
      <c r="GH21" s="39"/>
      <c r="GI21" s="39"/>
      <c r="GJ21" s="39"/>
      <c r="GK21" s="39"/>
      <c r="GL21" s="39"/>
      <c r="GM21" s="39"/>
      <c r="GN21" s="39"/>
      <c r="GO21" s="39"/>
      <c r="GP21" s="39"/>
      <c r="GQ21" s="39"/>
      <c r="GR21" s="39"/>
      <c r="GS21" s="39"/>
      <c r="GT21" s="39"/>
      <c r="GU21" s="39"/>
      <c r="GV21" s="39"/>
      <c r="GW21" s="39"/>
      <c r="GX21" s="39"/>
      <c r="GY21" s="39"/>
      <c r="GZ21" s="39"/>
      <c r="HA21" s="39"/>
      <c r="HB21" s="39"/>
      <c r="HC21" s="39"/>
      <c r="HD21" s="39"/>
      <c r="HE21" s="39"/>
      <c r="HF21" s="39"/>
      <c r="HG21" s="39"/>
      <c r="HH21" s="39"/>
      <c r="HI21" s="39"/>
      <c r="HJ21" s="39"/>
      <c r="HK21" s="39"/>
      <c r="HL21" s="39"/>
      <c r="HM21" s="39"/>
      <c r="HN21" s="39"/>
      <c r="HO21" s="39"/>
      <c r="HP21" s="39"/>
      <c r="HQ21" s="39"/>
      <c r="HR21" s="39"/>
      <c r="HS21" s="39"/>
      <c r="HT21" s="39"/>
      <c r="HU21" s="39"/>
      <c r="HV21" s="39"/>
      <c r="HW21" s="39"/>
      <c r="HX21" s="39"/>
      <c r="HY21" s="39"/>
      <c r="HZ21" s="39"/>
      <c r="IA21" s="39"/>
      <c r="IB21" s="39"/>
      <c r="IC21" s="39"/>
      <c r="ID21" s="39"/>
      <c r="IE21" s="39"/>
      <c r="IF21" s="39"/>
      <c r="IG21" s="39"/>
      <c r="IH21" s="39"/>
      <c r="II21" s="39"/>
      <c r="IJ21" s="39"/>
      <c r="IK21" s="39"/>
      <c r="IL21" s="39"/>
      <c r="IM21" s="39"/>
      <c r="IN21" s="39"/>
      <c r="IO21" s="39"/>
      <c r="IP21" s="39"/>
      <c r="IQ21" s="39"/>
      <c r="IR21" s="39"/>
      <c r="IS21" s="39"/>
      <c r="IT21" s="39"/>
      <c r="IU21" s="39"/>
      <c r="IV21" s="39"/>
      <c r="IW21" s="39"/>
    </row>
    <row r="22" customFormat="false" ht="12.75" hidden="true" customHeight="false" outlineLevel="0" collapsed="false">
      <c r="A22" s="460"/>
      <c r="B22" s="461"/>
      <c r="C22" s="461"/>
      <c r="D22" s="461"/>
      <c r="E22" s="461"/>
      <c r="F22" s="461"/>
      <c r="G22" s="461"/>
      <c r="H22" s="461"/>
      <c r="I22" s="461"/>
      <c r="J22" s="461"/>
      <c r="K22" s="461"/>
      <c r="L22" s="461"/>
      <c r="M22" s="461"/>
      <c r="N22" s="461"/>
      <c r="O22" s="461"/>
      <c r="P22" s="461"/>
      <c r="Q22" s="461"/>
      <c r="R22" s="461"/>
      <c r="S22" s="461"/>
      <c r="T22" s="461"/>
      <c r="U22" s="461"/>
      <c r="V22" s="461"/>
      <c r="W22" s="461"/>
      <c r="X22" s="461"/>
      <c r="Y22" s="461"/>
      <c r="Z22" s="461"/>
      <c r="AA22" s="461"/>
      <c r="AB22" s="461"/>
      <c r="AC22" s="461"/>
      <c r="AD22" s="461"/>
      <c r="AE22" s="461"/>
      <c r="AF22" s="461"/>
      <c r="AG22" s="462"/>
      <c r="AH22" s="462"/>
      <c r="AI22" s="462"/>
      <c r="AJ22" s="462"/>
      <c r="AK22" s="462"/>
      <c r="AL22" s="462"/>
      <c r="AM22" s="462"/>
      <c r="AN22" s="462"/>
      <c r="AO22" s="462"/>
      <c r="AP22" s="462"/>
      <c r="AQ22" s="462"/>
      <c r="AR22" s="462"/>
      <c r="AS22" s="462"/>
      <c r="AT22" s="462"/>
      <c r="AU22" s="462"/>
      <c r="AV22" s="462"/>
      <c r="AW22" s="462"/>
      <c r="AX22" s="462"/>
      <c r="AY22" s="462"/>
      <c r="AZ22" s="462"/>
      <c r="BA22" s="462"/>
      <c r="BB22" s="462"/>
      <c r="BC22" s="462"/>
      <c r="BD22" s="462"/>
      <c r="BE22" s="462"/>
      <c r="BF22" s="462"/>
      <c r="BG22" s="462"/>
      <c r="BH22" s="462"/>
      <c r="BI22" s="462"/>
      <c r="BJ22" s="462"/>
      <c r="BK22" s="462"/>
      <c r="BL22" s="462"/>
      <c r="BM22" s="462"/>
      <c r="BN22" s="462"/>
      <c r="BO22" s="462"/>
      <c r="BP22" s="462"/>
      <c r="BQ22" s="462"/>
      <c r="BR22" s="462"/>
      <c r="BS22" s="462"/>
      <c r="BT22" s="462"/>
      <c r="BU22" s="462"/>
      <c r="BV22" s="462"/>
      <c r="BW22" s="462"/>
      <c r="BX22" s="462"/>
      <c r="BY22" s="462"/>
      <c r="BZ22" s="462"/>
      <c r="CA22" s="462"/>
      <c r="CB22" s="462"/>
      <c r="CC22" s="462"/>
      <c r="CD22" s="462"/>
      <c r="CE22" s="462"/>
      <c r="CF22" s="462"/>
      <c r="CG22" s="462"/>
      <c r="CH22" s="462"/>
      <c r="CI22" s="462"/>
      <c r="CJ22" s="462"/>
      <c r="CK22" s="462"/>
      <c r="CL22" s="462"/>
      <c r="CM22" s="462"/>
      <c r="CN22" s="462"/>
      <c r="CO22" s="462"/>
      <c r="CP22" s="462"/>
      <c r="CQ22" s="462"/>
      <c r="CR22" s="462"/>
      <c r="CS22" s="462"/>
      <c r="CT22" s="462"/>
      <c r="CU22" s="462"/>
      <c r="CV22" s="462"/>
      <c r="CW22" s="462"/>
      <c r="CX22" s="462"/>
      <c r="CY22" s="462"/>
      <c r="CZ22" s="462"/>
      <c r="DA22" s="462"/>
      <c r="DB22" s="462"/>
      <c r="DC22" s="462"/>
      <c r="DD22" s="462"/>
      <c r="DE22" s="462"/>
      <c r="DF22" s="462"/>
      <c r="DG22" s="462"/>
      <c r="DH22" s="462"/>
      <c r="DI22" s="462"/>
      <c r="DJ22" s="462"/>
      <c r="DK22" s="462"/>
      <c r="DL22" s="462"/>
      <c r="DM22" s="462"/>
      <c r="DN22" s="462"/>
      <c r="DO22" s="462"/>
      <c r="DP22" s="462"/>
      <c r="DQ22" s="462"/>
      <c r="DR22" s="462"/>
      <c r="DS22" s="462"/>
      <c r="DT22" s="462"/>
      <c r="DU22" s="462"/>
      <c r="DV22" s="462"/>
      <c r="DW22" s="462"/>
      <c r="DX22" s="462"/>
      <c r="DY22" s="462"/>
      <c r="DZ22" s="462"/>
      <c r="EA22" s="462"/>
      <c r="EB22" s="462"/>
      <c r="EC22" s="462"/>
      <c r="ED22" s="462"/>
      <c r="EE22" s="462"/>
      <c r="EF22" s="462"/>
      <c r="EG22" s="462"/>
      <c r="EH22" s="462"/>
      <c r="EI22" s="462"/>
      <c r="EJ22" s="462"/>
      <c r="EK22" s="462"/>
      <c r="EL22" s="462"/>
      <c r="EM22" s="462"/>
      <c r="EN22" s="462"/>
      <c r="EO22" s="462"/>
      <c r="EP22" s="462"/>
      <c r="EQ22" s="462"/>
      <c r="ER22" s="462"/>
      <c r="ES22" s="462"/>
      <c r="ET22" s="462"/>
      <c r="EU22" s="462"/>
      <c r="EV22" s="462"/>
      <c r="EW22" s="462"/>
      <c r="EX22" s="462"/>
      <c r="EY22" s="462"/>
      <c r="EZ22" s="462"/>
      <c r="FA22" s="462"/>
      <c r="FB22" s="462"/>
      <c r="FC22" s="462"/>
      <c r="FD22" s="462"/>
      <c r="FE22" s="462"/>
      <c r="FF22" s="462"/>
      <c r="FG22" s="462"/>
      <c r="FH22" s="462"/>
      <c r="FI22" s="462"/>
      <c r="FJ22" s="462"/>
      <c r="FK22" s="462"/>
      <c r="FL22" s="462"/>
      <c r="FM22" s="462"/>
      <c r="FN22" s="462"/>
      <c r="FO22" s="462"/>
      <c r="FP22" s="462"/>
      <c r="FQ22" s="462"/>
      <c r="FR22" s="462"/>
      <c r="FS22" s="462"/>
      <c r="FT22" s="462"/>
      <c r="FU22" s="462"/>
      <c r="FV22" s="462"/>
      <c r="FW22" s="462"/>
      <c r="FX22" s="462"/>
      <c r="FY22" s="462"/>
      <c r="FZ22" s="462"/>
      <c r="GA22" s="462"/>
      <c r="GB22" s="462"/>
      <c r="GC22" s="462"/>
      <c r="GD22" s="462"/>
      <c r="GE22" s="462"/>
      <c r="GF22" s="462"/>
      <c r="GG22" s="462"/>
      <c r="GH22" s="462"/>
      <c r="GI22" s="462"/>
      <c r="GJ22" s="462"/>
      <c r="GK22" s="462"/>
      <c r="GL22" s="462"/>
      <c r="GM22" s="462"/>
      <c r="GN22" s="462"/>
      <c r="GO22" s="462"/>
      <c r="GP22" s="462"/>
      <c r="GQ22" s="462"/>
      <c r="GR22" s="462"/>
      <c r="GS22" s="462"/>
      <c r="GT22" s="462"/>
      <c r="GU22" s="462"/>
      <c r="GV22" s="462"/>
      <c r="GW22" s="462"/>
      <c r="GX22" s="462"/>
      <c r="GY22" s="462"/>
      <c r="GZ22" s="462"/>
      <c r="HA22" s="462"/>
      <c r="HB22" s="462"/>
      <c r="HC22" s="462"/>
      <c r="HD22" s="462"/>
      <c r="HE22" s="462"/>
      <c r="HF22" s="462"/>
      <c r="HG22" s="462"/>
      <c r="HH22" s="462"/>
      <c r="HI22" s="462"/>
      <c r="HJ22" s="462"/>
      <c r="HK22" s="462"/>
      <c r="HL22" s="462"/>
      <c r="HM22" s="462"/>
      <c r="HN22" s="462"/>
      <c r="HO22" s="462"/>
      <c r="HP22" s="462"/>
      <c r="HQ22" s="462"/>
      <c r="HR22" s="462"/>
      <c r="HS22" s="462"/>
      <c r="HT22" s="462"/>
      <c r="HU22" s="462"/>
      <c r="HV22" s="462"/>
      <c r="HW22" s="462"/>
      <c r="HX22" s="462"/>
      <c r="HY22" s="462"/>
      <c r="HZ22" s="462"/>
      <c r="IA22" s="462"/>
      <c r="IB22" s="462"/>
      <c r="IC22" s="462"/>
      <c r="ID22" s="462"/>
      <c r="IE22" s="462"/>
      <c r="IF22" s="462"/>
      <c r="IG22" s="462"/>
      <c r="IH22" s="462"/>
      <c r="II22" s="462"/>
      <c r="IJ22" s="462"/>
      <c r="IK22" s="462"/>
      <c r="IL22" s="462"/>
      <c r="IM22" s="462"/>
      <c r="IN22" s="462"/>
      <c r="IO22" s="462"/>
      <c r="IP22" s="462"/>
      <c r="IQ22" s="462"/>
      <c r="IR22" s="462"/>
      <c r="IS22" s="462"/>
      <c r="IT22" s="462"/>
      <c r="IU22" s="462"/>
      <c r="IV22" s="462"/>
      <c r="IW22" s="462"/>
    </row>
    <row r="23" customFormat="false" ht="13.5" hidden="true" customHeight="false" outlineLevel="0" collapsed="false">
      <c r="A23" s="463" t="s">
        <v>247</v>
      </c>
      <c r="B23" s="463"/>
      <c r="C23" s="463"/>
      <c r="D23" s="463"/>
      <c r="E23" s="463"/>
      <c r="F23" s="463"/>
      <c r="G23" s="463"/>
      <c r="H23" s="463"/>
      <c r="I23" s="463"/>
      <c r="J23" s="463"/>
      <c r="K23" s="463"/>
      <c r="L23" s="463"/>
      <c r="M23" s="463"/>
      <c r="N23" s="463"/>
      <c r="O23" s="463"/>
      <c r="P23" s="463"/>
      <c r="Q23" s="463"/>
      <c r="R23" s="463"/>
      <c r="S23" s="463"/>
      <c r="T23" s="463"/>
      <c r="U23" s="463"/>
      <c r="V23" s="463"/>
      <c r="W23" s="463"/>
      <c r="X23" s="463"/>
      <c r="Y23" s="463"/>
      <c r="Z23" s="463"/>
      <c r="AA23" s="463"/>
      <c r="AB23" s="463"/>
      <c r="AC23" s="463"/>
      <c r="AD23" s="463"/>
      <c r="AE23" s="463"/>
      <c r="AF23" s="463"/>
      <c r="AG23" s="118"/>
      <c r="AH23" s="118"/>
    </row>
    <row r="24" customFormat="false" ht="12.75" hidden="true" customHeight="false" outlineLevel="0" collapsed="false">
      <c r="A24" s="460"/>
      <c r="B24" s="464"/>
      <c r="C24" s="464"/>
      <c r="D24" s="464"/>
      <c r="E24" s="464"/>
      <c r="F24" s="464"/>
      <c r="G24" s="464"/>
      <c r="H24" s="464"/>
      <c r="I24" s="464"/>
      <c r="J24" s="464"/>
      <c r="K24" s="464"/>
      <c r="L24" s="464"/>
      <c r="M24" s="464"/>
      <c r="N24" s="464"/>
      <c r="O24" s="464"/>
      <c r="P24" s="464"/>
      <c r="Q24" s="464"/>
      <c r="R24" s="464"/>
      <c r="S24" s="464"/>
      <c r="T24" s="464"/>
      <c r="U24" s="464"/>
      <c r="V24" s="464"/>
      <c r="W24" s="464"/>
      <c r="X24" s="464"/>
      <c r="Y24" s="464"/>
      <c r="Z24" s="464"/>
      <c r="AA24" s="464"/>
      <c r="AB24" s="464"/>
      <c r="AC24" s="464"/>
      <c r="AD24" s="464"/>
      <c r="AE24" s="464"/>
      <c r="AF24" s="464"/>
      <c r="AG24" s="118"/>
      <c r="AH24" s="118"/>
      <c r="AI24" s="465"/>
      <c r="AJ24" s="465"/>
      <c r="AK24" s="465"/>
      <c r="AL24" s="465"/>
      <c r="AM24" s="465"/>
      <c r="AN24" s="465"/>
      <c r="AO24" s="465"/>
      <c r="AP24" s="465"/>
      <c r="AQ24" s="465"/>
      <c r="AR24" s="465"/>
      <c r="AS24" s="465"/>
      <c r="AT24" s="465"/>
      <c r="AU24" s="465"/>
      <c r="AV24" s="465"/>
      <c r="AW24" s="465"/>
      <c r="AX24" s="465"/>
      <c r="AY24" s="465"/>
      <c r="AZ24" s="465"/>
      <c r="BA24" s="465"/>
      <c r="BB24" s="465"/>
      <c r="BC24" s="465"/>
      <c r="BD24" s="465"/>
      <c r="BE24" s="465"/>
      <c r="BF24" s="465"/>
      <c r="BG24" s="465"/>
      <c r="BH24" s="465"/>
      <c r="BI24" s="465"/>
      <c r="BJ24" s="465"/>
      <c r="BK24" s="465"/>
      <c r="BL24" s="465"/>
      <c r="BM24" s="465"/>
      <c r="BN24" s="465"/>
      <c r="BO24" s="465"/>
      <c r="BP24" s="465"/>
      <c r="BQ24" s="465"/>
      <c r="BR24" s="465"/>
      <c r="BS24" s="465"/>
      <c r="BT24" s="465"/>
      <c r="BU24" s="465"/>
      <c r="BV24" s="465"/>
      <c r="BW24" s="465"/>
      <c r="BX24" s="465"/>
      <c r="BY24" s="465"/>
      <c r="BZ24" s="465"/>
      <c r="CA24" s="465"/>
      <c r="CB24" s="465"/>
      <c r="CC24" s="465"/>
      <c r="CD24" s="465"/>
      <c r="CE24" s="465"/>
      <c r="CF24" s="465"/>
      <c r="CG24" s="465"/>
      <c r="CH24" s="465"/>
      <c r="CI24" s="465"/>
      <c r="CJ24" s="465"/>
      <c r="CK24" s="465"/>
      <c r="CL24" s="465"/>
      <c r="CM24" s="465"/>
      <c r="CN24" s="465"/>
      <c r="CO24" s="465"/>
      <c r="CP24" s="465"/>
      <c r="CQ24" s="465"/>
      <c r="CR24" s="465"/>
      <c r="CS24" s="465"/>
      <c r="CT24" s="465"/>
      <c r="CU24" s="465"/>
      <c r="CV24" s="465"/>
      <c r="CW24" s="465"/>
      <c r="CX24" s="465"/>
      <c r="CY24" s="465"/>
      <c r="CZ24" s="465"/>
      <c r="DA24" s="465"/>
      <c r="DB24" s="465"/>
      <c r="DC24" s="465"/>
      <c r="DD24" s="465"/>
      <c r="DE24" s="465"/>
      <c r="DF24" s="465"/>
      <c r="DG24" s="465"/>
      <c r="DH24" s="465"/>
      <c r="DI24" s="465"/>
      <c r="DJ24" s="465"/>
      <c r="DK24" s="465"/>
      <c r="DL24" s="465"/>
      <c r="DM24" s="465"/>
      <c r="DN24" s="465"/>
      <c r="DO24" s="465"/>
      <c r="DP24" s="465"/>
      <c r="DQ24" s="465"/>
      <c r="DR24" s="465"/>
      <c r="DS24" s="465"/>
      <c r="DT24" s="465"/>
      <c r="DU24" s="465"/>
      <c r="DV24" s="465"/>
      <c r="DW24" s="465"/>
      <c r="DX24" s="465"/>
      <c r="DY24" s="465"/>
      <c r="DZ24" s="465"/>
      <c r="EA24" s="465"/>
      <c r="EB24" s="465"/>
      <c r="EC24" s="465"/>
      <c r="ED24" s="465"/>
      <c r="EE24" s="465"/>
      <c r="EF24" s="465"/>
      <c r="EG24" s="465"/>
      <c r="EH24" s="465"/>
      <c r="EI24" s="465"/>
      <c r="EJ24" s="465"/>
      <c r="EK24" s="465"/>
      <c r="EL24" s="465"/>
      <c r="EM24" s="465"/>
      <c r="EN24" s="465"/>
      <c r="EO24" s="465"/>
      <c r="EP24" s="465"/>
      <c r="EQ24" s="465"/>
      <c r="ER24" s="465"/>
      <c r="ES24" s="465"/>
      <c r="ET24" s="465"/>
      <c r="EU24" s="465"/>
      <c r="EV24" s="465"/>
      <c r="EW24" s="465"/>
      <c r="EX24" s="465"/>
      <c r="EY24" s="465"/>
      <c r="EZ24" s="465"/>
      <c r="FA24" s="465"/>
      <c r="FB24" s="465"/>
      <c r="FC24" s="465"/>
      <c r="FD24" s="465"/>
      <c r="FE24" s="465"/>
      <c r="FF24" s="465"/>
      <c r="FG24" s="465"/>
      <c r="FH24" s="465"/>
      <c r="FI24" s="465"/>
      <c r="FJ24" s="465"/>
      <c r="FK24" s="465"/>
      <c r="FL24" s="465"/>
      <c r="FM24" s="465"/>
      <c r="FN24" s="465"/>
      <c r="FO24" s="465"/>
      <c r="FP24" s="465"/>
      <c r="FQ24" s="465"/>
      <c r="FR24" s="465"/>
      <c r="FS24" s="465"/>
      <c r="FT24" s="465"/>
      <c r="FU24" s="465"/>
      <c r="FV24" s="465"/>
      <c r="FW24" s="465"/>
      <c r="FX24" s="465"/>
      <c r="FY24" s="465"/>
      <c r="FZ24" s="465"/>
      <c r="GA24" s="465"/>
      <c r="GB24" s="465"/>
      <c r="GC24" s="465"/>
      <c r="GD24" s="465"/>
      <c r="GE24" s="465"/>
      <c r="GF24" s="465"/>
      <c r="GG24" s="465"/>
      <c r="GH24" s="465"/>
      <c r="GI24" s="465"/>
      <c r="GJ24" s="465"/>
      <c r="GK24" s="465"/>
      <c r="GL24" s="465"/>
      <c r="GM24" s="465"/>
      <c r="GN24" s="465"/>
      <c r="GO24" s="465"/>
      <c r="GP24" s="465"/>
      <c r="GQ24" s="465"/>
      <c r="GR24" s="465"/>
      <c r="GS24" s="465"/>
      <c r="GT24" s="465"/>
      <c r="GU24" s="465"/>
      <c r="GV24" s="465"/>
      <c r="GW24" s="465"/>
      <c r="GX24" s="465"/>
      <c r="GY24" s="465"/>
      <c r="GZ24" s="465"/>
      <c r="HA24" s="465"/>
      <c r="HB24" s="465"/>
      <c r="HC24" s="465"/>
      <c r="HD24" s="465"/>
      <c r="HE24" s="465"/>
      <c r="HF24" s="465"/>
      <c r="HG24" s="465"/>
      <c r="HH24" s="465"/>
      <c r="HI24" s="465"/>
      <c r="HJ24" s="465"/>
      <c r="HK24" s="465"/>
      <c r="HL24" s="465"/>
      <c r="HM24" s="465"/>
      <c r="HN24" s="465"/>
      <c r="HO24" s="465"/>
      <c r="HP24" s="465"/>
      <c r="HQ24" s="465"/>
      <c r="HR24" s="465"/>
      <c r="HS24" s="465"/>
      <c r="HT24" s="465"/>
      <c r="HU24" s="465"/>
      <c r="HV24" s="465"/>
      <c r="HW24" s="465"/>
      <c r="HX24" s="465"/>
      <c r="HY24" s="465"/>
      <c r="HZ24" s="465"/>
      <c r="IA24" s="465"/>
      <c r="IB24" s="465"/>
      <c r="IC24" s="465"/>
      <c r="ID24" s="465"/>
      <c r="IE24" s="465"/>
      <c r="IF24" s="465"/>
      <c r="IG24" s="465"/>
      <c r="IH24" s="465"/>
      <c r="II24" s="465"/>
      <c r="IJ24" s="465"/>
      <c r="IK24" s="465"/>
      <c r="IL24" s="465"/>
      <c r="IM24" s="465"/>
      <c r="IN24" s="465"/>
      <c r="IO24" s="465"/>
      <c r="IP24" s="465"/>
      <c r="IQ24" s="465"/>
      <c r="IR24" s="465"/>
      <c r="IS24" s="465"/>
      <c r="IT24" s="465"/>
      <c r="IU24" s="465"/>
      <c r="IV24" s="465"/>
      <c r="IW24" s="465"/>
    </row>
    <row r="25" customFormat="false" ht="12.75" hidden="false" customHeight="false" outlineLevel="0" collapsed="false">
      <c r="C25" s="452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</row>
    <row r="26" customFormat="false" ht="12.75" hidden="false" customHeight="false" outlineLevel="0" collapsed="false">
      <c r="A26" s="426" t="s">
        <v>351</v>
      </c>
      <c r="B26" s="466" t="n">
        <f aca="false">B123</f>
        <v>0.05</v>
      </c>
      <c r="C26" s="466" t="n">
        <f aca="false">C123</f>
        <v>0.05</v>
      </c>
      <c r="D26" s="466" t="n">
        <f aca="false">D123</f>
        <v>0.05</v>
      </c>
      <c r="E26" s="466" t="n">
        <f aca="false">E123</f>
        <v>0.05</v>
      </c>
      <c r="F26" s="466" t="n">
        <f aca="false">F123</f>
        <v>0.05</v>
      </c>
      <c r="G26" s="466" t="n">
        <f aca="false">G123</f>
        <v>0.05</v>
      </c>
      <c r="H26" s="466" t="n">
        <f aca="false">H123</f>
        <v>0.05</v>
      </c>
      <c r="I26" s="466" t="n">
        <f aca="false">I123</f>
        <v>0.05</v>
      </c>
      <c r="J26" s="466" t="n">
        <f aca="false">J123</f>
        <v>0.05</v>
      </c>
      <c r="K26" s="466" t="n">
        <f aca="false">K123</f>
        <v>0.05</v>
      </c>
      <c r="L26" s="466" t="n">
        <f aca="false">L123</f>
        <v>0.05</v>
      </c>
      <c r="M26" s="466" t="n">
        <f aca="false">M123</f>
        <v>0.05</v>
      </c>
      <c r="N26" s="466" t="n">
        <f aca="false">N123</f>
        <v>0.05</v>
      </c>
      <c r="O26" s="466" t="n">
        <f aca="false">O123</f>
        <v>0.05</v>
      </c>
      <c r="P26" s="466" t="n">
        <f aca="false">P123</f>
        <v>0.05</v>
      </c>
      <c r="Q26" s="466" t="n">
        <f aca="false">Q123</f>
        <v>0.05</v>
      </c>
      <c r="R26" s="466" t="n">
        <f aca="false">R123</f>
        <v>0.05</v>
      </c>
      <c r="S26" s="466" t="n">
        <f aca="false">S123</f>
        <v>0.05</v>
      </c>
      <c r="T26" s="466" t="n">
        <f aca="false">T123</f>
        <v>0.05</v>
      </c>
      <c r="U26" s="466" t="n">
        <f aca="false">U123</f>
        <v>0.05</v>
      </c>
      <c r="V26" s="466" t="n">
        <f aca="false">V123</f>
        <v>0</v>
      </c>
      <c r="W26" s="466" t="n">
        <f aca="false">W123</f>
        <v>0</v>
      </c>
      <c r="X26" s="466" t="n">
        <f aca="false">X123</f>
        <v>0</v>
      </c>
      <c r="Y26" s="466" t="n">
        <f aca="false">Y123</f>
        <v>0</v>
      </c>
      <c r="Z26" s="466" t="n">
        <f aca="false">Z123</f>
        <v>0</v>
      </c>
      <c r="AA26" s="466" t="n">
        <f aca="false">AA123</f>
        <v>0</v>
      </c>
      <c r="AB26" s="466" t="n">
        <f aca="false">AB123</f>
        <v>0</v>
      </c>
      <c r="AC26" s="466" t="n">
        <f aca="false">AC123</f>
        <v>0</v>
      </c>
      <c r="AD26" s="466" t="n">
        <f aca="false">AD123</f>
        <v>0</v>
      </c>
      <c r="AE26" s="466" t="n">
        <f aca="false">AE123</f>
        <v>0</v>
      </c>
      <c r="AF26" s="466" t="n">
        <f aca="false">AF123</f>
        <v>0</v>
      </c>
      <c r="AG26" s="467"/>
      <c r="AH26" s="467"/>
    </row>
    <row r="27" customFormat="false" ht="12.75" hidden="false" customHeight="false" outlineLevel="0" collapsed="false">
      <c r="A27" s="468" t="str">
        <f aca="false">IF(SUM(B26:W26)&lt;&gt;1,"CHECK!","")</f>
        <v/>
      </c>
      <c r="B27" s="321"/>
      <c r="C27" s="321"/>
      <c r="D27" s="321"/>
      <c r="E27" s="321"/>
      <c r="F27" s="321"/>
      <c r="G27" s="321"/>
      <c r="H27" s="321"/>
      <c r="I27" s="321"/>
      <c r="J27" s="321"/>
      <c r="K27" s="321"/>
      <c r="L27" s="321"/>
      <c r="M27" s="321"/>
      <c r="N27" s="321"/>
      <c r="O27" s="321"/>
      <c r="P27" s="321"/>
      <c r="Q27" s="321"/>
      <c r="R27" s="321"/>
      <c r="S27" s="321"/>
      <c r="T27" s="321"/>
      <c r="U27" s="321"/>
      <c r="V27" s="321"/>
      <c r="W27" s="321"/>
      <c r="X27" s="321"/>
      <c r="Y27" s="321"/>
      <c r="Z27" s="321"/>
      <c r="AA27" s="321"/>
      <c r="AB27" s="321"/>
      <c r="AC27" s="321"/>
      <c r="AD27" s="321"/>
      <c r="AE27" s="321"/>
      <c r="AF27" s="321"/>
    </row>
    <row r="28" customFormat="false" ht="12.75" hidden="false" customHeight="false" outlineLevel="0" collapsed="false">
      <c r="A28" s="426" t="s">
        <v>352</v>
      </c>
      <c r="B28" s="469" t="n">
        <f aca="false">B128</f>
        <v>0.05</v>
      </c>
      <c r="C28" s="469" t="n">
        <f aca="false">C128</f>
        <v>0.05</v>
      </c>
      <c r="D28" s="469" t="n">
        <f aca="false">D128</f>
        <v>0.05</v>
      </c>
      <c r="E28" s="469" t="n">
        <f aca="false">E128</f>
        <v>0.05</v>
      </c>
      <c r="F28" s="469" t="n">
        <f aca="false">F128</f>
        <v>0.05</v>
      </c>
      <c r="G28" s="469" t="n">
        <f aca="false">G128</f>
        <v>0.05</v>
      </c>
      <c r="H28" s="469" t="n">
        <f aca="false">H128</f>
        <v>0.05</v>
      </c>
      <c r="I28" s="469" t="n">
        <f aca="false">I128</f>
        <v>0.05</v>
      </c>
      <c r="J28" s="469" t="n">
        <f aca="false">J128</f>
        <v>0.05</v>
      </c>
      <c r="K28" s="469" t="n">
        <f aca="false">K128</f>
        <v>0.05</v>
      </c>
      <c r="L28" s="469" t="n">
        <f aca="false">L128</f>
        <v>0.05</v>
      </c>
      <c r="M28" s="469" t="n">
        <f aca="false">M128</f>
        <v>0.05</v>
      </c>
      <c r="N28" s="469" t="n">
        <f aca="false">N128</f>
        <v>0.05</v>
      </c>
      <c r="O28" s="469" t="n">
        <f aca="false">O128</f>
        <v>0.05</v>
      </c>
      <c r="P28" s="469" t="n">
        <f aca="false">P128</f>
        <v>0.05</v>
      </c>
      <c r="Q28" s="469" t="n">
        <f aca="false">Q128</f>
        <v>0.05</v>
      </c>
      <c r="R28" s="469" t="n">
        <f aca="false">R128</f>
        <v>0.05</v>
      </c>
      <c r="S28" s="469" t="n">
        <f aca="false">S128</f>
        <v>0.05</v>
      </c>
      <c r="T28" s="469" t="n">
        <f aca="false">T128</f>
        <v>0.05</v>
      </c>
      <c r="U28" s="469" t="n">
        <f aca="false">U128</f>
        <v>0.05</v>
      </c>
      <c r="V28" s="469" t="n">
        <f aca="false">V128</f>
        <v>0</v>
      </c>
      <c r="W28" s="469" t="n">
        <f aca="false">W128</f>
        <v>0</v>
      </c>
      <c r="X28" s="469" t="n">
        <f aca="false">X128</f>
        <v>0</v>
      </c>
      <c r="Y28" s="469" t="n">
        <f aca="false">Y128</f>
        <v>0</v>
      </c>
      <c r="Z28" s="469" t="n">
        <f aca="false">Z128</f>
        <v>0</v>
      </c>
      <c r="AA28" s="469" t="n">
        <f aca="false">AA128</f>
        <v>0</v>
      </c>
      <c r="AB28" s="469" t="n">
        <f aca="false">AB128</f>
        <v>0</v>
      </c>
      <c r="AC28" s="469" t="n">
        <f aca="false">AC128</f>
        <v>0</v>
      </c>
      <c r="AD28" s="469" t="n">
        <f aca="false">AD128</f>
        <v>0</v>
      </c>
      <c r="AE28" s="469" t="n">
        <f aca="false">AE128</f>
        <v>0</v>
      </c>
      <c r="AF28" s="469" t="n">
        <f aca="false">AF128</f>
        <v>0</v>
      </c>
    </row>
    <row r="29" customFormat="false" ht="12.75" hidden="false" customHeight="false" outlineLevel="0" collapsed="false">
      <c r="A29" s="468" t="str">
        <f aca="false">IF(SUM(B28:W28)&lt;&gt;1,"CHECK!","")</f>
        <v/>
      </c>
      <c r="B29" s="321"/>
      <c r="C29" s="321"/>
      <c r="D29" s="321"/>
      <c r="E29" s="321"/>
      <c r="F29" s="321"/>
      <c r="G29" s="321"/>
      <c r="H29" s="321"/>
      <c r="I29" s="321"/>
      <c r="J29" s="321"/>
      <c r="K29" s="321"/>
      <c r="L29" s="321"/>
      <c r="M29" s="321"/>
      <c r="N29" s="321"/>
      <c r="O29" s="321"/>
      <c r="P29" s="321"/>
      <c r="Q29" s="321"/>
      <c r="R29" s="321"/>
      <c r="S29" s="321"/>
      <c r="T29" s="321"/>
      <c r="U29" s="321"/>
      <c r="V29" s="321"/>
      <c r="W29" s="321"/>
      <c r="X29" s="321"/>
      <c r="Y29" s="321"/>
      <c r="Z29" s="321"/>
      <c r="AA29" s="321"/>
      <c r="AB29" s="321"/>
      <c r="AC29" s="321"/>
      <c r="AD29" s="321"/>
      <c r="AE29" s="321"/>
      <c r="AF29" s="321"/>
    </row>
    <row r="30" customFormat="false" ht="12.75" hidden="false" customHeight="false" outlineLevel="0" collapsed="false">
      <c r="A30" s="426" t="s">
        <v>353</v>
      </c>
      <c r="B30" s="469" t="n">
        <f aca="false">B133</f>
        <v>0.05</v>
      </c>
      <c r="C30" s="469" t="n">
        <f aca="false">C133</f>
        <v>0.05</v>
      </c>
      <c r="D30" s="469" t="n">
        <f aca="false">D133</f>
        <v>0.05</v>
      </c>
      <c r="E30" s="469" t="n">
        <f aca="false">E133</f>
        <v>0.05</v>
      </c>
      <c r="F30" s="469" t="n">
        <f aca="false">F133</f>
        <v>0.05</v>
      </c>
      <c r="G30" s="469" t="n">
        <f aca="false">G133</f>
        <v>0.05</v>
      </c>
      <c r="H30" s="469" t="n">
        <f aca="false">H133</f>
        <v>0.05</v>
      </c>
      <c r="I30" s="469" t="n">
        <f aca="false">I133</f>
        <v>0.05</v>
      </c>
      <c r="J30" s="469" t="n">
        <f aca="false">J133</f>
        <v>0.05</v>
      </c>
      <c r="K30" s="469" t="n">
        <f aca="false">K133</f>
        <v>0.05</v>
      </c>
      <c r="L30" s="469" t="n">
        <f aca="false">L133</f>
        <v>0.05</v>
      </c>
      <c r="M30" s="469" t="n">
        <f aca="false">M133</f>
        <v>0.05</v>
      </c>
      <c r="N30" s="469" t="n">
        <f aca="false">N133</f>
        <v>0.05</v>
      </c>
      <c r="O30" s="469" t="n">
        <f aca="false">O133</f>
        <v>0.05</v>
      </c>
      <c r="P30" s="469" t="n">
        <f aca="false">P133</f>
        <v>0.05</v>
      </c>
      <c r="Q30" s="469" t="n">
        <f aca="false">Q133</f>
        <v>0.05</v>
      </c>
      <c r="R30" s="469" t="n">
        <f aca="false">R133</f>
        <v>0.05</v>
      </c>
      <c r="S30" s="469" t="n">
        <f aca="false">S133</f>
        <v>0.05</v>
      </c>
      <c r="T30" s="469" t="n">
        <f aca="false">T133</f>
        <v>0.05</v>
      </c>
      <c r="U30" s="469" t="n">
        <f aca="false">U133</f>
        <v>0.05</v>
      </c>
      <c r="V30" s="469" t="n">
        <f aca="false">V133</f>
        <v>0</v>
      </c>
      <c r="W30" s="469" t="n">
        <f aca="false">W133</f>
        <v>0</v>
      </c>
      <c r="X30" s="469" t="n">
        <f aca="false">X133</f>
        <v>0</v>
      </c>
      <c r="Y30" s="469" t="n">
        <f aca="false">Y133</f>
        <v>0</v>
      </c>
      <c r="Z30" s="469" t="n">
        <f aca="false">Z133</f>
        <v>0</v>
      </c>
      <c r="AA30" s="469" t="n">
        <f aca="false">AA133</f>
        <v>0</v>
      </c>
      <c r="AB30" s="469" t="n">
        <f aca="false">AB133</f>
        <v>0</v>
      </c>
      <c r="AC30" s="469" t="n">
        <f aca="false">AC133</f>
        <v>0</v>
      </c>
      <c r="AD30" s="469" t="n">
        <f aca="false">AD133</f>
        <v>0</v>
      </c>
      <c r="AE30" s="469" t="n">
        <f aca="false">AE133</f>
        <v>0</v>
      </c>
      <c r="AF30" s="469" t="n">
        <f aca="false">AF133</f>
        <v>0</v>
      </c>
      <c r="AG30" s="114"/>
      <c r="AH30" s="114"/>
    </row>
    <row r="31" customFormat="false" ht="12.75" hidden="false" customHeight="false" outlineLevel="0" collapsed="false">
      <c r="A31" s="468" t="str">
        <f aca="false">IF(SUM(B30:W30)&lt;&gt;1,"CHECK!","")</f>
        <v/>
      </c>
      <c r="C31" s="470"/>
      <c r="D31" s="470"/>
      <c r="E31" s="470"/>
      <c r="F31" s="470"/>
      <c r="G31" s="470"/>
      <c r="H31" s="470"/>
      <c r="I31" s="470"/>
      <c r="J31" s="470"/>
      <c r="K31" s="470"/>
      <c r="L31" s="470"/>
      <c r="M31" s="470"/>
      <c r="N31" s="470"/>
      <c r="O31" s="470"/>
      <c r="P31" s="470"/>
      <c r="Q31" s="470"/>
      <c r="R31" s="470"/>
      <c r="S31" s="470"/>
      <c r="T31" s="470"/>
      <c r="U31" s="470"/>
      <c r="V31" s="470"/>
      <c r="W31" s="470"/>
      <c r="X31" s="470"/>
      <c r="Y31" s="470"/>
      <c r="Z31" s="470"/>
      <c r="AA31" s="470"/>
      <c r="AB31" s="470"/>
      <c r="AC31" s="470"/>
      <c r="AD31" s="470"/>
      <c r="AE31" s="470"/>
      <c r="AF31" s="470"/>
    </row>
    <row r="32" customFormat="false" ht="12.75" hidden="false" customHeight="false" outlineLevel="0" collapsed="false">
      <c r="A32" s="468"/>
      <c r="B32" s="471"/>
      <c r="C32" s="471"/>
      <c r="D32" s="471"/>
      <c r="E32" s="471"/>
      <c r="F32" s="471"/>
      <c r="G32" s="471"/>
      <c r="H32" s="471"/>
      <c r="I32" s="471"/>
      <c r="J32" s="471"/>
      <c r="K32" s="471"/>
      <c r="L32" s="471"/>
      <c r="M32" s="471"/>
      <c r="N32" s="471"/>
      <c r="O32" s="471"/>
      <c r="P32" s="471"/>
      <c r="Q32" s="471"/>
      <c r="R32" s="471"/>
      <c r="S32" s="471"/>
      <c r="T32" s="471"/>
      <c r="U32" s="471"/>
      <c r="V32" s="471"/>
      <c r="W32" s="471"/>
      <c r="X32" s="471"/>
      <c r="Y32" s="471"/>
      <c r="Z32" s="471"/>
      <c r="AA32" s="471"/>
      <c r="AB32" s="471"/>
      <c r="AC32" s="471"/>
      <c r="AD32" s="471"/>
      <c r="AE32" s="471"/>
      <c r="AF32" s="471"/>
    </row>
    <row r="33" customFormat="false" ht="12.75" hidden="false" customHeight="false" outlineLevel="0" collapsed="false">
      <c r="A33" s="472" t="str">
        <f aca="false">CONCATENATE("Tranche 1 @ ",F7*100,"%")</f>
        <v>Tranche 1 @ 7.83%</v>
      </c>
      <c r="C33" s="473"/>
    </row>
    <row r="34" customFormat="false" ht="12.75" hidden="false" customHeight="false" outlineLevel="0" collapsed="false">
      <c r="A34" s="474" t="n">
        <f aca="false">Assumptions!C48</f>
        <v>36739</v>
      </c>
      <c r="B34" s="475" t="n">
        <v>36769</v>
      </c>
      <c r="C34" s="475" t="n">
        <v>37134</v>
      </c>
      <c r="D34" s="475" t="n">
        <v>37499</v>
      </c>
      <c r="E34" s="475" t="n">
        <v>37864</v>
      </c>
      <c r="F34" s="475" t="n">
        <v>38230</v>
      </c>
      <c r="G34" s="475" t="n">
        <v>38595</v>
      </c>
      <c r="H34" s="475" t="n">
        <v>38960</v>
      </c>
      <c r="I34" s="475" t="n">
        <v>39325</v>
      </c>
      <c r="J34" s="475" t="n">
        <v>39691</v>
      </c>
      <c r="K34" s="475" t="n">
        <v>40056</v>
      </c>
      <c r="L34" s="475" t="n">
        <v>40421</v>
      </c>
      <c r="M34" s="475" t="n">
        <v>40786</v>
      </c>
      <c r="N34" s="475" t="n">
        <v>41152</v>
      </c>
      <c r="O34" s="475" t="n">
        <v>41517</v>
      </c>
      <c r="P34" s="475" t="n">
        <v>41882</v>
      </c>
      <c r="Q34" s="475" t="n">
        <v>42247</v>
      </c>
      <c r="R34" s="475" t="n">
        <v>42613</v>
      </c>
      <c r="S34" s="475" t="n">
        <v>42978</v>
      </c>
      <c r="T34" s="475" t="n">
        <v>43343</v>
      </c>
      <c r="U34" s="475" t="n">
        <v>43708</v>
      </c>
      <c r="V34" s="475" t="n">
        <v>44074</v>
      </c>
      <c r="W34" s="475" t="n">
        <v>44439</v>
      </c>
      <c r="X34" s="475" t="n">
        <v>44804</v>
      </c>
      <c r="Y34" s="475" t="n">
        <v>45169</v>
      </c>
      <c r="Z34" s="475" t="n">
        <v>45535</v>
      </c>
      <c r="AA34" s="475" t="n">
        <v>45900</v>
      </c>
      <c r="AB34" s="475" t="n">
        <v>46265</v>
      </c>
      <c r="AC34" s="475" t="n">
        <v>46630</v>
      </c>
      <c r="AD34" s="475" t="n">
        <v>46996</v>
      </c>
      <c r="AE34" s="475" t="n">
        <v>47361</v>
      </c>
      <c r="AF34" s="475" t="n">
        <v>47726</v>
      </c>
    </row>
    <row r="35" customFormat="false" ht="12.75" hidden="false" customHeight="false" outlineLevel="0" collapsed="false">
      <c r="A35" s="452" t="s">
        <v>302</v>
      </c>
      <c r="B35" s="476" t="n">
        <f aca="false">+Assumptions!D12</f>
        <v>79074.242256281</v>
      </c>
      <c r="C35" s="452" t="n">
        <f aca="false">B43</f>
        <v>79074.242256281</v>
      </c>
      <c r="D35" s="452" t="n">
        <f aca="false">C43</f>
        <v>75775.031003252</v>
      </c>
      <c r="E35" s="452" t="n">
        <f aca="false">D43</f>
        <v>73284.753218661</v>
      </c>
      <c r="F35" s="452" t="n">
        <f aca="false">E43</f>
        <v>70595.6697787449</v>
      </c>
      <c r="G35" s="452" t="n">
        <f aca="false">F43</f>
        <v>67691.9094867906</v>
      </c>
      <c r="H35" s="452" t="n">
        <f aca="false">G43</f>
        <v>64556.3341052423</v>
      </c>
      <c r="I35" s="452" t="n">
        <f aca="false">H43</f>
        <v>61170.4372043809</v>
      </c>
      <c r="J35" s="452" t="n">
        <f aca="false">I43</f>
        <v>57514.2349358195</v>
      </c>
      <c r="K35" s="452" t="n">
        <f aca="false">J43</f>
        <v>53566.1480861481</v>
      </c>
      <c r="L35" s="452" t="n">
        <f aca="false">K43</f>
        <v>49302.874714601</v>
      </c>
      <c r="M35" s="452" t="n">
        <f aca="false">L43</f>
        <v>44699.2526230416</v>
      </c>
      <c r="N35" s="452" t="n">
        <f aca="false">M43</f>
        <v>39728.1108465518</v>
      </c>
      <c r="O35" s="452" t="n">
        <f aca="false">N43</f>
        <v>34360.1092881113</v>
      </c>
      <c r="P35" s="452" t="n">
        <f aca="false">O43</f>
        <v>28563.5655508764</v>
      </c>
      <c r="Q35" s="452" t="n">
        <f aca="false">P43</f>
        <v>22304.2679460076</v>
      </c>
      <c r="R35" s="452" t="n">
        <f aca="false">Q43</f>
        <v>15545.2735724044</v>
      </c>
      <c r="S35" s="452" t="n">
        <f aca="false">R43</f>
        <v>8246.69027659429</v>
      </c>
      <c r="T35" s="452" t="n">
        <f aca="false">S43</f>
        <v>365.441205886635</v>
      </c>
      <c r="U35" s="452" t="n">
        <f aca="false">T43</f>
        <v>0</v>
      </c>
      <c r="V35" s="452" t="n">
        <f aca="false">U43</f>
        <v>0</v>
      </c>
      <c r="W35" s="452" t="n">
        <f aca="false">V43</f>
        <v>0</v>
      </c>
      <c r="X35" s="452" t="n">
        <f aca="false">W43</f>
        <v>0</v>
      </c>
      <c r="Y35" s="452" t="n">
        <f aca="false">X43</f>
        <v>0</v>
      </c>
      <c r="Z35" s="452" t="n">
        <f aca="false">Y43</f>
        <v>0</v>
      </c>
      <c r="AA35" s="452" t="n">
        <f aca="false">Z43</f>
        <v>0</v>
      </c>
      <c r="AB35" s="452" t="n">
        <f aca="false">AA43</f>
        <v>0</v>
      </c>
      <c r="AC35" s="452" t="n">
        <f aca="false">AB43</f>
        <v>0</v>
      </c>
      <c r="AD35" s="452" t="n">
        <f aca="false">AC43</f>
        <v>0</v>
      </c>
      <c r="AE35" s="452" t="n">
        <f aca="false">AD43</f>
        <v>0</v>
      </c>
      <c r="AF35" s="452" t="n">
        <f aca="false">AE43</f>
        <v>0</v>
      </c>
      <c r="AG35" s="452"/>
      <c r="AH35" s="452"/>
    </row>
    <row r="36" customFormat="false" ht="12.75" hidden="false" customHeight="false" outlineLevel="0" collapsed="false">
      <c r="A36" s="452" t="s">
        <v>354</v>
      </c>
      <c r="B36" s="477" t="n">
        <v>0</v>
      </c>
      <c r="C36" s="452" t="n">
        <f aca="false">+IF(C35&lt;1,0,IF(Assumptions!$C$58=1,$F$16-C37,B35*C$26/2))</f>
        <v>2123.98799228771</v>
      </c>
      <c r="D36" s="452" t="n">
        <f aca="false">+IF(D35&lt;1,0,IF(Assumptions!$C$58=1,$F$16-D37,C35*D$26/2))</f>
        <v>1221.23325139933</v>
      </c>
      <c r="E36" s="452" t="n">
        <f aca="false">+IF(E35&lt;1,0,IF(Assumptions!$C$58=1,$F$16-E37,D35*E$26/2))</f>
        <v>1318.72762666606</v>
      </c>
      <c r="F36" s="452" t="n">
        <f aca="false">+IF(F35&lt;1,0,IF(Assumptions!$C$58=1,$F$16-F37,E35*F$26/2))</f>
        <v>1424.00524333878</v>
      </c>
      <c r="G36" s="452" t="n">
        <f aca="false">+IF(G35&lt;1,0,IF(Assumptions!$C$58=1,$F$16-G37,F35*G$26/2))</f>
        <v>1537.68745876879</v>
      </c>
      <c r="H36" s="452" t="n">
        <f aca="false">+IF(H35&lt;1,0,IF(Assumptions!$C$58=1,$F$16-H37,G35*H$26/2))</f>
        <v>1660.44523495641</v>
      </c>
      <c r="I36" s="452" t="n">
        <f aca="false">+IF(I35&lt;1,0,IF(Assumptions!$C$58=1,$F$16-I37,H35*I$26/2))</f>
        <v>1793.00309862513</v>
      </c>
      <c r="J36" s="452" t="n">
        <f aca="false">+IF(J35&lt;1,0,IF(Assumptions!$C$58=1,$F$16-J37,I35*J$26/2))</f>
        <v>1936.14341743931</v>
      </c>
      <c r="K36" s="452" t="n">
        <f aca="false">+IF(K35&lt;1,0,IF(Assumptions!$C$58=1,$F$16-K37,J35*K$26/2))</f>
        <v>2090.71101760395</v>
      </c>
      <c r="L36" s="452" t="n">
        <f aca="false">+IF(L35&lt;1,0,IF(Assumptions!$C$58=1,$F$16-L37,K35*L$26/2))</f>
        <v>2257.61817010001</v>
      </c>
      <c r="M36" s="452" t="n">
        <f aca="false">+IF(M35&lt;1,0,IF(Assumptions!$C$58=1,$F$16-M37,L35*M$26/2))</f>
        <v>2437.84997498457</v>
      </c>
      <c r="N36" s="452" t="n">
        <f aca="false">+IF(N35&lt;1,0,IF(Assumptions!$C$58=1,$F$16-N37,M35*N$26/2))</f>
        <v>2632.47017553414</v>
      </c>
      <c r="O36" s="452" t="n">
        <f aca="false">+IF(O35&lt;1,0,IF(Assumptions!$C$58=1,$F$16-O37,N35*O$26/2))</f>
        <v>2842.62743654708</v>
      </c>
      <c r="P36" s="452" t="n">
        <f aca="false">+IF(P35&lt;1,0,IF(Assumptions!$C$58=1,$F$16-P37,O35*P$26/2))</f>
        <v>3069.56212385983</v>
      </c>
      <c r="Q36" s="452" t="n">
        <f aca="false">+IF(Q35&lt;1,0,IF(Assumptions!$C$58=1,$F$16-Q37,P35*Q$26/2))</f>
        <v>3314.61362509045</v>
      </c>
      <c r="R36" s="452" t="n">
        <f aca="false">+IF(R35&lt;1,0,IF(Assumptions!$C$58=1,$F$16-R37,Q35*R$26/2))</f>
        <v>3579.22825481701</v>
      </c>
      <c r="S36" s="452" t="n">
        <f aca="false">+IF(S35&lt;1,0,IF(Assumptions!$C$58=1,$F$16-S37,R35*S$26/2))</f>
        <v>3864.96779084798</v>
      </c>
      <c r="T36" s="452" t="n">
        <f aca="false">+IF(T35&lt;1,0,IF(Assumptions!$C$58=1,$F$16-T37,S35*T$26/2))</f>
        <v>4173.51869196618</v>
      </c>
      <c r="U36" s="452" t="n">
        <f aca="false">+IF(U35&lt;1,0,IF(Assumptions!$C$58=1,$F$16-U37,T35*U$26/2))</f>
        <v>0</v>
      </c>
      <c r="V36" s="452" t="n">
        <f aca="false">+IF(V35&lt;1,0,IF(Assumptions!$C$58=1,$F$16-V37,U35*V$26/2))</f>
        <v>0</v>
      </c>
      <c r="W36" s="452" t="n">
        <f aca="false">+IF(W35&lt;1,0,IF(Assumptions!$C$58=1,$F$16-W37,V35*W$26/2))</f>
        <v>0</v>
      </c>
      <c r="X36" s="452" t="n">
        <f aca="false">+IF(X35&lt;1,0,IF(Assumptions!$C$58=1,$F$16-X37,W35*X$26/2))</f>
        <v>0</v>
      </c>
      <c r="Y36" s="452" t="n">
        <f aca="false">+IF(Y35&lt;1,0,IF(Assumptions!$C$58=1,$F$16-Y37,X35*Y$26/2))</f>
        <v>0</v>
      </c>
      <c r="Z36" s="452" t="n">
        <f aca="false">+IF(Z35&lt;1,0,IF(Assumptions!$C$58=1,$F$16-Z37,Y35*Z$26/2))</f>
        <v>0</v>
      </c>
      <c r="AA36" s="452" t="n">
        <f aca="false">+IF(AA35&lt;1,0,IF(Assumptions!$C$58=1,$F$16-AA37,Z35*AA$26/2))</f>
        <v>0</v>
      </c>
      <c r="AB36" s="452" t="n">
        <f aca="false">+IF(AB35&lt;1,0,IF(Assumptions!$C$58=1,$F$16-AB37,AA35*AB$26/2))</f>
        <v>0</v>
      </c>
      <c r="AC36" s="452" t="n">
        <f aca="false">+IF(AC35&lt;1,0,IF(Assumptions!$C$58=1,$F$16-AC37,AB35*AC$26/2))</f>
        <v>0</v>
      </c>
      <c r="AD36" s="452" t="n">
        <f aca="false">+IF(AD35&lt;1,0,IF(Assumptions!$C$58=1,$F$16-AD37,AC35*AD$26/2))</f>
        <v>0</v>
      </c>
      <c r="AE36" s="452" t="n">
        <f aca="false">+IF(AE35&lt;1,0,IF(Assumptions!$C$58=1,$F$16-AE37,AD35*AE$26/2))</f>
        <v>0</v>
      </c>
      <c r="AF36" s="452" t="n">
        <f aca="false">+IF(AF35&lt;1,0,IF(Assumptions!$C$58=1,$F$16-AF37,AE35*AF$26/2))</f>
        <v>0</v>
      </c>
      <c r="AG36" s="452"/>
      <c r="AH36" s="452"/>
    </row>
    <row r="37" customFormat="false" ht="12.75" hidden="false" customHeight="false" outlineLevel="0" collapsed="false">
      <c r="A37" s="452" t="s">
        <v>355</v>
      </c>
      <c r="B37" s="459" t="n">
        <v>0</v>
      </c>
      <c r="C37" s="452" t="n">
        <f aca="false">C35*($F$7*YEARFRAC(Assumptions!J18,C34))</f>
        <v>2063.83772288893</v>
      </c>
      <c r="D37" s="452" t="n">
        <f aca="false">D35*$F$7/2</f>
        <v>2966.59246377731</v>
      </c>
      <c r="E37" s="452" t="n">
        <f aca="false">E35*$F$7/2</f>
        <v>2869.09808851058</v>
      </c>
      <c r="F37" s="452" t="n">
        <f aca="false">F35*$F$7/2</f>
        <v>2763.82047183786</v>
      </c>
      <c r="G37" s="452" t="n">
        <f aca="false">G35*$F$7/2</f>
        <v>2650.13825640785</v>
      </c>
      <c r="H37" s="452" t="n">
        <f aca="false">H35*$F$7/2</f>
        <v>2527.38048022023</v>
      </c>
      <c r="I37" s="452" t="n">
        <f aca="false">I35*$F$7/2</f>
        <v>2394.82261655151</v>
      </c>
      <c r="J37" s="452" t="n">
        <f aca="false">J35*$F$7/2</f>
        <v>2251.68229773733</v>
      </c>
      <c r="K37" s="452" t="n">
        <f aca="false">K35*$F$7/2</f>
        <v>2097.1146975727</v>
      </c>
      <c r="L37" s="452" t="n">
        <f aca="false">L35*$F$7/2</f>
        <v>1930.20754507663</v>
      </c>
      <c r="M37" s="452" t="n">
        <f aca="false">M35*$F$7/2</f>
        <v>1749.97574019208</v>
      </c>
      <c r="N37" s="452" t="n">
        <f aca="false">N35*$F$7/2</f>
        <v>1555.3555396425</v>
      </c>
      <c r="O37" s="452" t="n">
        <f aca="false">O35*$F$7/2</f>
        <v>1345.19827862956</v>
      </c>
      <c r="P37" s="452" t="n">
        <f aca="false">P35*$F$7/2</f>
        <v>1118.26359131681</v>
      </c>
      <c r="Q37" s="452" t="n">
        <f aca="false">Q35*$F$7/2</f>
        <v>873.212090086197</v>
      </c>
      <c r="R37" s="452" t="n">
        <f aca="false">R35*$F$7/2</f>
        <v>608.597460359632</v>
      </c>
      <c r="S37" s="452" t="n">
        <f aca="false">S35*$F$7/2</f>
        <v>322.857924328666</v>
      </c>
      <c r="T37" s="452" t="n">
        <f aca="false">T35*$F$7/2</f>
        <v>14.3070232104617</v>
      </c>
      <c r="U37" s="452" t="n">
        <f aca="false">U35*$F$7/2</f>
        <v>0</v>
      </c>
      <c r="V37" s="452" t="n">
        <f aca="false">V35*$F$7/2</f>
        <v>0</v>
      </c>
      <c r="W37" s="452" t="n">
        <f aca="false">W35*$F$7/2</f>
        <v>0</v>
      </c>
      <c r="X37" s="452" t="n">
        <f aca="false">X35*$F$7/2</f>
        <v>0</v>
      </c>
      <c r="Y37" s="452" t="n">
        <f aca="false">Y35*$F$7/2</f>
        <v>0</v>
      </c>
      <c r="Z37" s="452" t="n">
        <f aca="false">Z35*$F$7/2</f>
        <v>0</v>
      </c>
      <c r="AA37" s="452" t="n">
        <f aca="false">AA35*$F$7/2</f>
        <v>0</v>
      </c>
      <c r="AB37" s="452" t="n">
        <f aca="false">AB35*$F$7/2</f>
        <v>0</v>
      </c>
      <c r="AC37" s="452" t="n">
        <f aca="false">AC35*$F$7/2</f>
        <v>0</v>
      </c>
      <c r="AD37" s="452" t="n">
        <f aca="false">AD35*$F$7/2</f>
        <v>0</v>
      </c>
      <c r="AE37" s="452" t="n">
        <f aca="false">AE35*$F$7/2</f>
        <v>0</v>
      </c>
      <c r="AF37" s="452" t="n">
        <f aca="false">AF35*$F$7/2</f>
        <v>0</v>
      </c>
      <c r="AG37" s="452"/>
      <c r="AH37" s="452"/>
    </row>
    <row r="38" customFormat="false" ht="12.75" hidden="false" customHeight="false" outlineLevel="0" collapsed="false">
      <c r="A38" s="452" t="s">
        <v>310</v>
      </c>
      <c r="B38" s="459" t="n">
        <f aca="false">B35-B36</f>
        <v>79074.242256281</v>
      </c>
      <c r="C38" s="452" t="n">
        <f aca="false">+IF(SUM($C$36:C36)+SUM($B$41:B41)&gt;=$B$35,0,C35-C36)</f>
        <v>76950.2542639933</v>
      </c>
      <c r="D38" s="452" t="n">
        <f aca="false">+IF(SUM($C$36:D36)+SUM($B$41:C41)&gt;=$B$35,0,D35-D36)</f>
        <v>74553.7977518526</v>
      </c>
      <c r="E38" s="452" t="n">
        <f aca="false">+IF(SUM($C$36:E36)+SUM($B$41:D41)&gt;=$B$35,0,E35-E36)</f>
        <v>71966.025591995</v>
      </c>
      <c r="F38" s="452" t="n">
        <f aca="false">+IF(SUM($C$36:F36)+SUM($B$41:E41)&gt;=$B$35,0,F35-F36)</f>
        <v>69171.6645354061</v>
      </c>
      <c r="G38" s="452" t="n">
        <f aca="false">+IF(SUM($C$36:G36)+SUM($B$41:F41)&gt;=$B$35,0,G35-G36)</f>
        <v>66154.2220280219</v>
      </c>
      <c r="H38" s="452" t="n">
        <f aca="false">+IF(SUM($C$36:H36)+SUM($B$41:G41)&gt;=$B$35,0,H35-H36)</f>
        <v>62895.8888702859</v>
      </c>
      <c r="I38" s="452" t="n">
        <f aca="false">+IF(SUM($C$36:I36)+SUM($B$41:H41)&gt;=$B$35,0,I35-I36)</f>
        <v>59377.4341057558</v>
      </c>
      <c r="J38" s="452" t="n">
        <f aca="false">+IF(SUM($C$36:J36)+SUM($B$41:I41)&gt;=$B$35,0,J35-J36)</f>
        <v>55578.0915183802</v>
      </c>
      <c r="K38" s="452" t="n">
        <f aca="false">+IF(SUM($C$36:K36)+SUM($B$41:J41)&gt;=$B$35,0,K35-K36)</f>
        <v>51475.4370685441</v>
      </c>
      <c r="L38" s="452" t="n">
        <f aca="false">+IF(SUM($C$36:L36)+SUM($B$41:K41)&gt;=$B$35,0,L35-L36)</f>
        <v>47045.256544501</v>
      </c>
      <c r="M38" s="452" t="n">
        <f aca="false">+IF(SUM($C$36:M36)+SUM($B$41:L41)&gt;=$B$35,0,M35-M36)</f>
        <v>42261.402648057</v>
      </c>
      <c r="N38" s="452" t="n">
        <f aca="false">+IF(SUM($C$36:N36)+SUM($B$41:M41)&gt;=$B$35,0,N35-N36)</f>
        <v>37095.6406710176</v>
      </c>
      <c r="O38" s="452" t="n">
        <f aca="false">+IF(SUM($C$36:O36)+SUM($B$41:N41)&gt;=$B$35,0,O35-O36)</f>
        <v>31517.4818515643</v>
      </c>
      <c r="P38" s="452" t="n">
        <f aca="false">+IF(SUM($C$36:P36)+SUM($B$41:O41)&gt;=$B$35,0,P35-P36)</f>
        <v>25494.0034270165</v>
      </c>
      <c r="Q38" s="452" t="n">
        <f aca="false">+IF(SUM($C$36:Q36)+SUM($B$41:P41)&gt;=$B$35,0,Q35-Q36)</f>
        <v>18989.6543209171</v>
      </c>
      <c r="R38" s="452" t="n">
        <f aca="false">+IF(SUM($C$36:R36)+SUM($B$41:Q41)&gt;=$B$35,0,R35-R36)</f>
        <v>11966.0453175874</v>
      </c>
      <c r="S38" s="452" t="n">
        <f aca="false">+IF(SUM($C$36:S36)+SUM($B$41:R41)&gt;=$B$35,0,S35-S36)</f>
        <v>4381.72248574631</v>
      </c>
      <c r="T38" s="452" t="n">
        <f aca="false">+IF(SUM($C$36:T36)+SUM($B$41:S41)&gt;=$B$35,0,T35-T36)</f>
        <v>0</v>
      </c>
      <c r="U38" s="452" t="n">
        <f aca="false">+IF(SUM($C$36:U36)+SUM($B$41:T41)&gt;=$B$35,0,U35-U36)</f>
        <v>0</v>
      </c>
      <c r="V38" s="452" t="n">
        <f aca="false">+IF(SUM($C$36:V36)+SUM($B$41:U41)&gt;=$B$35,0,V35-V36)</f>
        <v>0</v>
      </c>
      <c r="W38" s="452" t="n">
        <f aca="false">+IF(SUM($C$36:W36)+SUM($B$41:V41)&gt;=$B$35,0,W35-W36)</f>
        <v>0</v>
      </c>
      <c r="X38" s="452" t="n">
        <f aca="false">+IF(SUM($C$36:X36)+SUM($B$41:W41)&gt;=$B$35,0,X35-X36)</f>
        <v>0</v>
      </c>
      <c r="Y38" s="452" t="n">
        <f aca="false">+IF(SUM($C$36:Y36)+SUM($B$41:X41)&gt;=$B$35,0,Y35-Y36)</f>
        <v>0</v>
      </c>
      <c r="Z38" s="452" t="n">
        <f aca="false">+IF(SUM($C$36:Z36)+SUM($B$41:Y41)&gt;=$B$35,0,Z35-Z36)</f>
        <v>0</v>
      </c>
      <c r="AA38" s="452" t="n">
        <f aca="false">+IF(SUM($C$36:AA36)+SUM($B$41:Z41)&gt;=$B$35,0,AA35-AA36)</f>
        <v>0</v>
      </c>
      <c r="AB38" s="452" t="n">
        <f aca="false">+IF(SUM($C$36:AB36)+SUM($B$41:AA41)&gt;=$B$35,0,AB35-AB36)</f>
        <v>0</v>
      </c>
      <c r="AC38" s="452" t="n">
        <f aca="false">+IF(SUM($C$36:AC36)+SUM($B$41:AB41)&gt;=$B$35,0,AC35-AC36)</f>
        <v>0</v>
      </c>
      <c r="AD38" s="452" t="n">
        <f aca="false">+IF(SUM($C$36:AD36)+SUM($B$41:AC41)&gt;=$B$35,0,AD35-AD36)</f>
        <v>0</v>
      </c>
      <c r="AE38" s="452" t="n">
        <f aca="false">+IF(SUM($C$36:AE36)+SUM($B$41:AD41)&gt;=$B$35,0,AE35-AE36)</f>
        <v>0</v>
      </c>
      <c r="AF38" s="452" t="n">
        <f aca="false">+IF(SUM($C$36:AF36)+SUM($B$41:AE41)&gt;=$B$35,0,AF35-AF36)</f>
        <v>0</v>
      </c>
      <c r="AG38" s="452"/>
      <c r="AH38" s="452"/>
    </row>
    <row r="39" customFormat="false" ht="12.75" hidden="false" customHeight="false" outlineLevel="0" collapsed="false">
      <c r="A39" s="474" t="n">
        <v>36557</v>
      </c>
      <c r="B39" s="475" t="n">
        <v>36950</v>
      </c>
      <c r="C39" s="475" t="n">
        <v>37315</v>
      </c>
      <c r="D39" s="475" t="n">
        <v>37680</v>
      </c>
      <c r="E39" s="475" t="n">
        <v>38046</v>
      </c>
      <c r="F39" s="475" t="n">
        <v>38411</v>
      </c>
      <c r="G39" s="475" t="n">
        <v>38776</v>
      </c>
      <c r="H39" s="475" t="n">
        <v>39141</v>
      </c>
      <c r="I39" s="475" t="n">
        <v>39507</v>
      </c>
      <c r="J39" s="475" t="n">
        <v>39872</v>
      </c>
      <c r="K39" s="475" t="n">
        <v>40237</v>
      </c>
      <c r="L39" s="475" t="n">
        <v>40602</v>
      </c>
      <c r="M39" s="475" t="n">
        <v>40968</v>
      </c>
      <c r="N39" s="475" t="n">
        <v>41333</v>
      </c>
      <c r="O39" s="475" t="n">
        <v>41698</v>
      </c>
      <c r="P39" s="475" t="n">
        <v>42063</v>
      </c>
      <c r="Q39" s="475" t="n">
        <v>42429</v>
      </c>
      <c r="R39" s="475" t="n">
        <v>42794</v>
      </c>
      <c r="S39" s="475" t="n">
        <v>43159</v>
      </c>
      <c r="T39" s="475" t="n">
        <v>43524</v>
      </c>
      <c r="U39" s="475" t="n">
        <v>43890</v>
      </c>
      <c r="V39" s="475" t="n">
        <v>44255</v>
      </c>
      <c r="W39" s="475" t="n">
        <v>44620</v>
      </c>
      <c r="X39" s="475" t="n">
        <v>44985</v>
      </c>
      <c r="Y39" s="475" t="n">
        <v>45351</v>
      </c>
      <c r="Z39" s="475" t="n">
        <v>45716</v>
      </c>
      <c r="AA39" s="475" t="n">
        <v>46081</v>
      </c>
      <c r="AB39" s="475" t="n">
        <v>46446</v>
      </c>
      <c r="AC39" s="475" t="n">
        <v>46812</v>
      </c>
      <c r="AD39" s="475" t="n">
        <v>47177</v>
      </c>
      <c r="AE39" s="475" t="n">
        <v>47542</v>
      </c>
      <c r="AF39" s="475" t="n">
        <v>47907</v>
      </c>
      <c r="AG39" s="452"/>
      <c r="AH39" s="452"/>
    </row>
    <row r="40" customFormat="false" ht="12.75" hidden="false" customHeight="false" outlineLevel="0" collapsed="false">
      <c r="A40" s="452" t="s">
        <v>302</v>
      </c>
      <c r="B40" s="459" t="n">
        <f aca="false">B38</f>
        <v>79074.242256281</v>
      </c>
      <c r="C40" s="452" t="n">
        <f aca="false">C38</f>
        <v>76950.2542639933</v>
      </c>
      <c r="D40" s="452" t="n">
        <f aca="false">D38</f>
        <v>74553.7977518526</v>
      </c>
      <c r="E40" s="452" t="n">
        <f aca="false">E38</f>
        <v>71966.025591995</v>
      </c>
      <c r="F40" s="452" t="n">
        <f aca="false">F38</f>
        <v>69171.6645354061</v>
      </c>
      <c r="G40" s="452" t="n">
        <f aca="false">G38</f>
        <v>66154.2220280219</v>
      </c>
      <c r="H40" s="452" t="n">
        <f aca="false">H38</f>
        <v>62895.8888702859</v>
      </c>
      <c r="I40" s="452" t="n">
        <f aca="false">I38</f>
        <v>59377.4341057558</v>
      </c>
      <c r="J40" s="452" t="n">
        <f aca="false">J38</f>
        <v>55578.0915183802</v>
      </c>
      <c r="K40" s="452" t="n">
        <f aca="false">K38</f>
        <v>51475.4370685441</v>
      </c>
      <c r="L40" s="452" t="n">
        <f aca="false">L38</f>
        <v>47045.256544501</v>
      </c>
      <c r="M40" s="452" t="n">
        <f aca="false">M38</f>
        <v>42261.402648057</v>
      </c>
      <c r="N40" s="452" t="n">
        <f aca="false">N38</f>
        <v>37095.6406710176</v>
      </c>
      <c r="O40" s="452" t="n">
        <f aca="false">O38</f>
        <v>31517.4818515643</v>
      </c>
      <c r="P40" s="452" t="n">
        <f aca="false">P38</f>
        <v>25494.0034270165</v>
      </c>
      <c r="Q40" s="452" t="n">
        <f aca="false">Q38</f>
        <v>18989.6543209171</v>
      </c>
      <c r="R40" s="452" t="n">
        <f aca="false">R38</f>
        <v>11966.0453175874</v>
      </c>
      <c r="S40" s="452" t="n">
        <f aca="false">S38</f>
        <v>4381.72248574631</v>
      </c>
      <c r="T40" s="452" t="n">
        <f aca="false">T38</f>
        <v>0</v>
      </c>
      <c r="U40" s="452" t="n">
        <f aca="false">U38</f>
        <v>0</v>
      </c>
      <c r="V40" s="452" t="n">
        <f aca="false">V38</f>
        <v>0</v>
      </c>
      <c r="W40" s="452" t="n">
        <f aca="false">W38</f>
        <v>0</v>
      </c>
      <c r="X40" s="452" t="n">
        <f aca="false">X38</f>
        <v>0</v>
      </c>
      <c r="Y40" s="452" t="n">
        <f aca="false">Y38</f>
        <v>0</v>
      </c>
      <c r="Z40" s="452" t="n">
        <f aca="false">Z38</f>
        <v>0</v>
      </c>
      <c r="AA40" s="452" t="n">
        <f aca="false">AA38</f>
        <v>0</v>
      </c>
      <c r="AB40" s="452" t="n">
        <f aca="false">AB38</f>
        <v>0</v>
      </c>
      <c r="AC40" s="452" t="n">
        <f aca="false">AC38</f>
        <v>0</v>
      </c>
      <c r="AD40" s="452" t="n">
        <f aca="false">AD38</f>
        <v>0</v>
      </c>
      <c r="AE40" s="452" t="n">
        <f aca="false">AE38</f>
        <v>0</v>
      </c>
      <c r="AF40" s="452" t="n">
        <f aca="false">AF38</f>
        <v>0</v>
      </c>
      <c r="AG40" s="452"/>
      <c r="AH40" s="452"/>
    </row>
    <row r="41" customFormat="false" ht="12.75" hidden="false" customHeight="false" outlineLevel="0" collapsed="false">
      <c r="A41" s="452" t="s">
        <v>354</v>
      </c>
      <c r="B41" s="478" t="n">
        <v>0</v>
      </c>
      <c r="C41" s="452" t="n">
        <f aca="false">+IF(C40&lt;1,0,IF(Assumptions!$C$58=1,$F$16-C42,C40*C$26/2))</f>
        <v>1175.22326074131</v>
      </c>
      <c r="D41" s="452" t="n">
        <f aca="false">+IF(D40&lt;1,0,IF(Assumptions!$C$58=1,$F$16-D42,D40*D$26/2))</f>
        <v>1269.04453319161</v>
      </c>
      <c r="E41" s="452" t="n">
        <f aca="false">+IF(E40&lt;1,0,IF(Assumptions!$C$58=1,$F$16-E42,E40*E$26/2))</f>
        <v>1370.35581325004</v>
      </c>
      <c r="F41" s="452" t="n">
        <f aca="false">+IF(F40&lt;1,0,IF(Assumptions!$C$58=1,$F$16-F42,F40*F$26/2))</f>
        <v>1479.75504861549</v>
      </c>
      <c r="G41" s="452" t="n">
        <f aca="false">+IF(G40&lt;1,0,IF(Assumptions!$C$58=1,$F$16-G42,G40*G$26/2))</f>
        <v>1597.88792277959</v>
      </c>
      <c r="H41" s="452" t="n">
        <f aca="false">+IF(H40&lt;1,0,IF(Assumptions!$C$58=1,$F$16-H42,H40*H$26/2))</f>
        <v>1725.45166590495</v>
      </c>
      <c r="I41" s="452" t="n">
        <f aca="false">+IF(I40&lt;1,0,IF(Assumptions!$C$58=1,$F$16-I42,I40*I$26/2))</f>
        <v>1863.1991699363</v>
      </c>
      <c r="J41" s="452" t="n">
        <f aca="false">+IF(J40&lt;1,0,IF(Assumptions!$C$58=1,$F$16-J42,J40*J$26/2))</f>
        <v>2011.94343223206</v>
      </c>
      <c r="K41" s="452" t="n">
        <f aca="false">+IF(K40&lt;1,0,IF(Assumptions!$C$58=1,$F$16-K42,K40*K$26/2))</f>
        <v>2172.56235394314</v>
      </c>
      <c r="L41" s="452" t="n">
        <f aca="false">+IF(L40&lt;1,0,IF(Assumptions!$C$58=1,$F$16-L42,L40*L$26/2))</f>
        <v>2346.00392145943</v>
      </c>
      <c r="M41" s="452" t="n">
        <f aca="false">+IF(M40&lt;1,0,IF(Assumptions!$C$58=1,$F$16-M42,M40*M$26/2))</f>
        <v>2533.29180150521</v>
      </c>
      <c r="N41" s="452" t="n">
        <f aca="false">+IF(N40&lt;1,0,IF(Assumptions!$C$58=1,$F$16-N42,N40*N$26/2))</f>
        <v>2735.5313829063</v>
      </c>
      <c r="O41" s="452" t="n">
        <f aca="false">+IF(O40&lt;1,0,IF(Assumptions!$C$58=1,$F$16-O42,O40*O$26/2))</f>
        <v>2953.9163006879</v>
      </c>
      <c r="P41" s="452" t="n">
        <f aca="false">+IF(P40&lt;1,0,IF(Assumptions!$C$58=1,$F$16-P42,P40*P$26/2))</f>
        <v>3189.73548100895</v>
      </c>
      <c r="Q41" s="452" t="n">
        <f aca="false">+IF(Q40&lt;1,0,IF(Assumptions!$C$58=1,$F$16-Q42,Q40*Q$26/2))</f>
        <v>3444.38074851274</v>
      </c>
      <c r="R41" s="452" t="n">
        <f aca="false">+IF(R40&lt;1,0,IF(Assumptions!$C$58=1,$F$16-R42,R40*R$26/2))</f>
        <v>3719.3550409931</v>
      </c>
      <c r="S41" s="452" t="n">
        <f aca="false">+IF(S40&lt;1,0,IF(Assumptions!$C$58=1,$F$16-S42,S40*S$26/2))</f>
        <v>4016.28127985968</v>
      </c>
      <c r="T41" s="452" t="n">
        <f aca="false">+IF(T40&lt;1,0,IF(Assumptions!$C$58=1,$F$16-T42,T40*T$26/2))</f>
        <v>0</v>
      </c>
      <c r="U41" s="452" t="n">
        <f aca="false">+IF(U40&lt;1,0,IF(Assumptions!$C$58=1,$F$16-U42,U40*U$26/2))</f>
        <v>0</v>
      </c>
      <c r="V41" s="452" t="n">
        <f aca="false">+IF(V40&lt;1,0,IF(Assumptions!$C$58=1,$F$16-V42,V40*V$26/2))</f>
        <v>0</v>
      </c>
      <c r="W41" s="452" t="n">
        <f aca="false">+IF(W40&lt;1,0,IF(Assumptions!$C$58=1,$F$16-W42,W40*W$26/2))</f>
        <v>0</v>
      </c>
      <c r="X41" s="452" t="n">
        <f aca="false">+IF(X40&lt;1,0,IF(Assumptions!$C$58=1,$F$16-X42,X40*X$26/2))</f>
        <v>0</v>
      </c>
      <c r="Y41" s="452" t="n">
        <f aca="false">+IF(Y40&lt;1,0,IF(Assumptions!$C$58=1,$F$16-Y42,Y40*Y$26/2))</f>
        <v>0</v>
      </c>
      <c r="Z41" s="452" t="n">
        <f aca="false">+IF(Z40&lt;1,0,IF(Assumptions!$C$58=1,$F$16-Z42,Z40*Z$26/2))</f>
        <v>0</v>
      </c>
      <c r="AA41" s="452" t="n">
        <f aca="false">+IF(AA40&lt;1,0,IF(Assumptions!$C$58=1,$F$16-AA42,AA40*AA$26/2))</f>
        <v>0</v>
      </c>
      <c r="AB41" s="452" t="n">
        <f aca="false">+IF(AB40&lt;1,0,IF(Assumptions!$C$58=1,$F$16-AB42,AB40*AB$26/2))</f>
        <v>0</v>
      </c>
      <c r="AC41" s="452" t="n">
        <f aca="false">+IF(AC40&lt;1,0,IF(Assumptions!$C$58=1,$F$16-AC42,AC40*AC$26/2))</f>
        <v>0</v>
      </c>
      <c r="AD41" s="452" t="n">
        <f aca="false">+IF(AD40&lt;1,0,IF(Assumptions!$C$58=1,$F$16-AD42,AD40*AD$26/2))</f>
        <v>0</v>
      </c>
      <c r="AE41" s="452" t="n">
        <f aca="false">+IF(AE40&lt;1,0,IF(Assumptions!$C$58=1,$F$16-AE42,AE40*AE$26/2))</f>
        <v>0</v>
      </c>
      <c r="AF41" s="452" t="n">
        <f aca="false">+IF(AF40&lt;1,0,IF(Assumptions!$C$58=1,$F$16-AF42,AF40*AF$26/2))</f>
        <v>0</v>
      </c>
      <c r="AG41" s="452"/>
      <c r="AH41" s="452"/>
    </row>
    <row r="42" customFormat="false" ht="12.75" hidden="false" customHeight="false" outlineLevel="0" collapsed="false">
      <c r="A42" s="452" t="s">
        <v>355</v>
      </c>
      <c r="B42" s="459" t="n">
        <v>0</v>
      </c>
      <c r="C42" s="459" t="n">
        <f aca="false">C40*$F$7/2</f>
        <v>3012.60245443534</v>
      </c>
      <c r="D42" s="459" t="n">
        <f aca="false">D40*$F$7/2</f>
        <v>2918.78118198503</v>
      </c>
      <c r="E42" s="459" t="n">
        <f aca="false">E40*$F$7/2</f>
        <v>2817.4699019266</v>
      </c>
      <c r="F42" s="459" t="n">
        <f aca="false">F40*$F$7/2</f>
        <v>2708.07066656115</v>
      </c>
      <c r="G42" s="459" t="n">
        <f aca="false">G40*$F$7/2</f>
        <v>2589.93779239706</v>
      </c>
      <c r="H42" s="459" t="n">
        <f aca="false">H40*$F$7/2</f>
        <v>2462.37404927169</v>
      </c>
      <c r="I42" s="459" t="n">
        <f aca="false">I40*$F$7/2</f>
        <v>2324.62654524034</v>
      </c>
      <c r="J42" s="459" t="n">
        <f aca="false">J40*$F$7/2</f>
        <v>2175.88228294458</v>
      </c>
      <c r="K42" s="459" t="n">
        <f aca="false">K40*$F$7/2</f>
        <v>2015.2633612335</v>
      </c>
      <c r="L42" s="459" t="n">
        <f aca="false">L40*$F$7/2</f>
        <v>1841.82179371721</v>
      </c>
      <c r="M42" s="459" t="n">
        <f aca="false">M40*$F$7/2</f>
        <v>1654.53391367143</v>
      </c>
      <c r="N42" s="459" t="n">
        <f aca="false">N40*$F$7/2</f>
        <v>1452.29433227034</v>
      </c>
      <c r="O42" s="459" t="n">
        <f aca="false">O40*$F$7/2</f>
        <v>1233.90941448874</v>
      </c>
      <c r="P42" s="459" t="n">
        <f aca="false">P40*$F$7/2</f>
        <v>998.090234167697</v>
      </c>
      <c r="Q42" s="459" t="n">
        <f aca="false">Q40*$F$7/2</f>
        <v>743.444966663906</v>
      </c>
      <c r="R42" s="459" t="n">
        <f aca="false">R40*$F$7/2</f>
        <v>468.470674183546</v>
      </c>
      <c r="S42" s="459" t="n">
        <f aca="false">S40*$F$7/2</f>
        <v>171.544435316968</v>
      </c>
      <c r="T42" s="459" t="n">
        <f aca="false">T40*$F$7/2</f>
        <v>0</v>
      </c>
      <c r="U42" s="459" t="n">
        <f aca="false">U40*$F$7/2</f>
        <v>0</v>
      </c>
      <c r="V42" s="459" t="n">
        <f aca="false">V40*$F$7/2</f>
        <v>0</v>
      </c>
      <c r="W42" s="459" t="n">
        <f aca="false">W40*$F$7/2</f>
        <v>0</v>
      </c>
      <c r="X42" s="459" t="n">
        <f aca="false">X40*$F$7/2</f>
        <v>0</v>
      </c>
      <c r="Y42" s="459" t="n">
        <f aca="false">Y40*$F$7/2</f>
        <v>0</v>
      </c>
      <c r="Z42" s="459" t="n">
        <f aca="false">Z40*$F$7/2</f>
        <v>0</v>
      </c>
      <c r="AA42" s="459" t="n">
        <f aca="false">AA40*$F$7/2</f>
        <v>0</v>
      </c>
      <c r="AB42" s="459" t="n">
        <f aca="false">AB40*$F$7/2</f>
        <v>0</v>
      </c>
      <c r="AC42" s="459" t="n">
        <f aca="false">AC40*$F$7/2</f>
        <v>0</v>
      </c>
      <c r="AD42" s="459" t="n">
        <f aca="false">AD40*$F$7/2</f>
        <v>0</v>
      </c>
      <c r="AE42" s="459" t="n">
        <f aca="false">AE40*$F$7/2</f>
        <v>0</v>
      </c>
      <c r="AF42" s="459" t="n">
        <f aca="false">AF40*$F$7/2</f>
        <v>0</v>
      </c>
      <c r="AG42" s="452"/>
      <c r="AH42" s="452"/>
    </row>
    <row r="43" customFormat="false" ht="12.75" hidden="false" customHeight="false" outlineLevel="0" collapsed="false">
      <c r="A43" s="452" t="s">
        <v>310</v>
      </c>
      <c r="B43" s="459" t="n">
        <f aca="false">+IF(SUM($B$36:B36)+SUM($B$41:B41)&gt;=$B$35,0,B40-B41)</f>
        <v>79074.242256281</v>
      </c>
      <c r="C43" s="459" t="n">
        <f aca="false">+IF(SUM($B$36:C36)+SUM($B$41:C41)&gt;=$B$35,0,C40-C41)</f>
        <v>75775.031003252</v>
      </c>
      <c r="D43" s="459" t="n">
        <f aca="false">+IF(SUM($B$36:D36)+SUM($B$41:D41)&gt;=$B$35,0,D40-D41)</f>
        <v>73284.753218661</v>
      </c>
      <c r="E43" s="459" t="n">
        <f aca="false">+IF(SUM($B$36:E36)+SUM($B$41:E41)&gt;=$B$35,0,E40-E41)</f>
        <v>70595.6697787449</v>
      </c>
      <c r="F43" s="459" t="n">
        <f aca="false">+IF(SUM($B$36:F36)+SUM($B$41:F41)&gt;=$B$35,0,F40-F41)</f>
        <v>67691.9094867906</v>
      </c>
      <c r="G43" s="459" t="n">
        <f aca="false">+IF(SUM($B$36:G36)+SUM($B$41:G41)&gt;=$B$35,0,G40-G41)</f>
        <v>64556.3341052423</v>
      </c>
      <c r="H43" s="459" t="n">
        <f aca="false">+IF(SUM($B$36:H36)+SUM($B$41:H41)&gt;=$B$35,0,H40-H41)</f>
        <v>61170.4372043809</v>
      </c>
      <c r="I43" s="459" t="n">
        <f aca="false">+IF(SUM($B$36:I36)+SUM($B$41:I41)&gt;=$B$35,0,I40-I41)</f>
        <v>57514.2349358195</v>
      </c>
      <c r="J43" s="459" t="n">
        <f aca="false">+IF(SUM($B$36:J36)+SUM($B$41:J41)&gt;=$B$35,0,J40-J41)</f>
        <v>53566.1480861481</v>
      </c>
      <c r="K43" s="459" t="n">
        <f aca="false">+IF(SUM($B$36:K36)+SUM($B$41:K41)&gt;=$B$35,0,K40-K41)</f>
        <v>49302.874714601</v>
      </c>
      <c r="L43" s="459" t="n">
        <f aca="false">+IF(SUM($B$36:L36)+SUM($B$41:L41)&gt;=$B$35,0,L40-L41)</f>
        <v>44699.2526230416</v>
      </c>
      <c r="M43" s="459" t="n">
        <f aca="false">+IF(SUM($B$36:M36)+SUM($B$41:M41)&gt;=$B$35,0,M40-M41)</f>
        <v>39728.1108465518</v>
      </c>
      <c r="N43" s="459" t="n">
        <f aca="false">+IF(SUM($B$36:N36)+SUM($B$41:N41)&gt;=$B$35,0,N40-N41)</f>
        <v>34360.1092881113</v>
      </c>
      <c r="O43" s="459" t="n">
        <f aca="false">+IF(SUM($B$36:O36)+SUM($B$41:O41)&gt;=$B$35,0,O40-O41)</f>
        <v>28563.5655508764</v>
      </c>
      <c r="P43" s="459" t="n">
        <f aca="false">+IF(SUM($B$36:P36)+SUM($B$41:P41)&gt;=$B$35,0,P40-P41)</f>
        <v>22304.2679460076</v>
      </c>
      <c r="Q43" s="459" t="n">
        <f aca="false">+IF(SUM($B$36:Q36)+SUM($B$41:Q41)&gt;=$B$35,0,Q40-Q41)</f>
        <v>15545.2735724044</v>
      </c>
      <c r="R43" s="459" t="n">
        <f aca="false">+IF(SUM($B$36:R36)+SUM($B$41:R41)&gt;=$B$35,0,R40-R41)</f>
        <v>8246.69027659429</v>
      </c>
      <c r="S43" s="459" t="n">
        <f aca="false">+IF(SUM($B$36:S36)+SUM($B$41:S41)&gt;=$B$35,0,S40-S41)</f>
        <v>365.441205886635</v>
      </c>
      <c r="T43" s="459" t="n">
        <f aca="false">+IF(SUM($B$36:T36)+SUM($B$41:T41)&gt;=$B$35,0,T40-T41)</f>
        <v>0</v>
      </c>
      <c r="U43" s="459" t="n">
        <f aca="false">+IF(SUM($B$36:U36)+SUM($B$41:U41)&gt;=$B$35,0,U40-U41)</f>
        <v>0</v>
      </c>
      <c r="V43" s="459" t="n">
        <f aca="false">+IF(SUM($B$36:V36)+SUM($B$41:V41)&gt;=$B$35,0,V40-V41)</f>
        <v>0</v>
      </c>
      <c r="W43" s="459" t="n">
        <f aca="false">+IF(SUM($B$36:W36)+SUM($B$41:W41)&gt;=$B$35,0,W40-W41)</f>
        <v>0</v>
      </c>
      <c r="X43" s="459" t="n">
        <f aca="false">+IF(SUM($B$36:X36)+SUM($B$41:X41)&gt;=$B$35,0,X40-X41)</f>
        <v>0</v>
      </c>
      <c r="Y43" s="459" t="n">
        <f aca="false">+IF(SUM($B$36:Y36)+SUM($B$41:Y41)&gt;=$B$35,0,Y40-Y41)</f>
        <v>0</v>
      </c>
      <c r="Z43" s="459" t="n">
        <f aca="false">+IF(SUM($B$36:Z36)+SUM($B$41:Z41)&gt;=$B$35,0,Z40-Z41)</f>
        <v>0</v>
      </c>
      <c r="AA43" s="459" t="n">
        <f aca="false">+IF(SUM($B$36:AA36)+SUM($B$41:AA41)&gt;=$B$35,0,AA40-AA41)</f>
        <v>0</v>
      </c>
      <c r="AB43" s="459" t="n">
        <f aca="false">+IF(SUM($B$36:AB36)+SUM($B$41:AB41)&gt;=$B$35,0,AB40-AB41)</f>
        <v>0</v>
      </c>
      <c r="AC43" s="459" t="n">
        <f aca="false">+IF(SUM($B$36:AC36)+SUM($B$41:AC41)&gt;=$B$35,0,AC40-AC41)</f>
        <v>0</v>
      </c>
      <c r="AD43" s="459" t="n">
        <f aca="false">+IF(SUM($B$36:AD36)+SUM($B$41:AD41)&gt;=$B$35,0,AD40-AD41)</f>
        <v>0</v>
      </c>
      <c r="AE43" s="459" t="n">
        <f aca="false">+IF(SUM($B$36:AE36)+SUM($B$41:AE41)&gt;=$B$35,0,AE40-AE41)</f>
        <v>0</v>
      </c>
      <c r="AF43" s="459" t="n">
        <f aca="false">+IF(SUM($B$36:AF36)+SUM($B$41:AF41)&gt;=$B$35,0,AF40-AF41)</f>
        <v>0</v>
      </c>
      <c r="AG43" s="452"/>
      <c r="AH43" s="452"/>
    </row>
    <row r="44" customFormat="false" ht="12.75" hidden="false" customHeight="false" outlineLevel="0" collapsed="false">
      <c r="B44" s="459"/>
      <c r="C44" s="452"/>
      <c r="D44" s="452"/>
      <c r="E44" s="452"/>
      <c r="F44" s="452"/>
      <c r="G44" s="452"/>
      <c r="H44" s="452"/>
      <c r="I44" s="452"/>
      <c r="J44" s="452"/>
      <c r="K44" s="452"/>
      <c r="L44" s="452"/>
      <c r="M44" s="452"/>
      <c r="N44" s="452"/>
      <c r="O44" s="452"/>
      <c r="P44" s="452"/>
      <c r="Q44" s="452"/>
      <c r="R44" s="452"/>
      <c r="S44" s="452"/>
      <c r="T44" s="452"/>
      <c r="U44" s="452"/>
      <c r="V44" s="452"/>
      <c r="W44" s="452"/>
      <c r="X44" s="452"/>
      <c r="Y44" s="452"/>
      <c r="Z44" s="452"/>
      <c r="AA44" s="452"/>
      <c r="AB44" s="452"/>
      <c r="AC44" s="452"/>
      <c r="AD44" s="452"/>
      <c r="AE44" s="452"/>
      <c r="AF44" s="452"/>
      <c r="AG44" s="452"/>
      <c r="AH44" s="452"/>
    </row>
    <row r="45" customFormat="false" ht="12.75" hidden="false" customHeight="false" outlineLevel="0" collapsed="false">
      <c r="B45" s="459"/>
      <c r="C45" s="452"/>
      <c r="D45" s="452"/>
      <c r="E45" s="452"/>
      <c r="F45" s="452"/>
      <c r="G45" s="452"/>
      <c r="H45" s="452"/>
      <c r="I45" s="452"/>
      <c r="J45" s="452"/>
      <c r="K45" s="452"/>
      <c r="L45" s="452"/>
      <c r="M45" s="452"/>
      <c r="N45" s="452"/>
      <c r="O45" s="452"/>
      <c r="P45" s="452"/>
      <c r="Q45" s="452"/>
      <c r="R45" s="452"/>
      <c r="S45" s="452"/>
      <c r="T45" s="452"/>
      <c r="U45" s="452"/>
      <c r="V45" s="452"/>
      <c r="W45" s="452"/>
      <c r="X45" s="452"/>
      <c r="Y45" s="452"/>
      <c r="Z45" s="452"/>
      <c r="AA45" s="452"/>
      <c r="AB45" s="452"/>
      <c r="AC45" s="452"/>
      <c r="AD45" s="452"/>
      <c r="AE45" s="452"/>
      <c r="AF45" s="452"/>
      <c r="AG45" s="452"/>
      <c r="AH45" s="452"/>
    </row>
    <row r="46" customFormat="false" ht="12.75" hidden="false" customHeight="false" outlineLevel="0" collapsed="false">
      <c r="B46" s="459"/>
      <c r="C46" s="452"/>
      <c r="D46" s="452"/>
      <c r="E46" s="452"/>
      <c r="F46" s="452"/>
      <c r="G46" s="452"/>
      <c r="H46" s="452"/>
      <c r="I46" s="452"/>
      <c r="J46" s="452"/>
      <c r="K46" s="452"/>
      <c r="L46" s="452"/>
      <c r="M46" s="452"/>
      <c r="N46" s="452"/>
      <c r="O46" s="452"/>
      <c r="P46" s="452"/>
      <c r="Q46" s="452"/>
      <c r="R46" s="452"/>
      <c r="S46" s="452"/>
      <c r="T46" s="452"/>
      <c r="U46" s="452"/>
      <c r="V46" s="452"/>
      <c r="W46" s="452"/>
      <c r="X46" s="452"/>
      <c r="Y46" s="452"/>
      <c r="Z46" s="452"/>
      <c r="AA46" s="452"/>
      <c r="AB46" s="452"/>
      <c r="AC46" s="452"/>
      <c r="AD46" s="452"/>
      <c r="AE46" s="452"/>
      <c r="AF46" s="452"/>
      <c r="AG46" s="452"/>
      <c r="AH46" s="452"/>
    </row>
    <row r="47" customFormat="false" ht="12.75" hidden="false" customHeight="false" outlineLevel="0" collapsed="false">
      <c r="B47" s="479" t="n">
        <v>2000</v>
      </c>
      <c r="C47" s="479" t="n">
        <v>2001</v>
      </c>
      <c r="D47" s="479" t="n">
        <v>2002</v>
      </c>
      <c r="E47" s="479" t="n">
        <v>2003</v>
      </c>
      <c r="F47" s="479" t="n">
        <v>2004</v>
      </c>
      <c r="G47" s="479" t="n">
        <v>2005</v>
      </c>
      <c r="H47" s="479" t="n">
        <v>2006</v>
      </c>
      <c r="I47" s="479" t="n">
        <v>2007</v>
      </c>
      <c r="J47" s="479" t="n">
        <v>2008</v>
      </c>
      <c r="K47" s="479" t="n">
        <v>2009</v>
      </c>
      <c r="L47" s="479" t="n">
        <v>2010</v>
      </c>
      <c r="M47" s="479" t="n">
        <v>2011</v>
      </c>
      <c r="N47" s="479" t="n">
        <v>2012</v>
      </c>
      <c r="O47" s="479" t="n">
        <v>2013</v>
      </c>
      <c r="P47" s="479" t="n">
        <v>2014</v>
      </c>
      <c r="Q47" s="479" t="n">
        <v>2015</v>
      </c>
      <c r="R47" s="479" t="n">
        <v>2016</v>
      </c>
      <c r="S47" s="479" t="n">
        <v>2017</v>
      </c>
      <c r="T47" s="479" t="n">
        <v>2018</v>
      </c>
      <c r="U47" s="479" t="n">
        <v>2019</v>
      </c>
      <c r="V47" s="479" t="n">
        <v>2020</v>
      </c>
      <c r="W47" s="479" t="n">
        <v>2021</v>
      </c>
      <c r="X47" s="479" t="n">
        <v>2022</v>
      </c>
      <c r="Y47" s="479" t="n">
        <v>2023</v>
      </c>
      <c r="Z47" s="479" t="n">
        <v>2024</v>
      </c>
      <c r="AA47" s="479" t="n">
        <v>2025</v>
      </c>
      <c r="AB47" s="479" t="n">
        <v>2026</v>
      </c>
      <c r="AC47" s="479" t="n">
        <v>2027</v>
      </c>
      <c r="AD47" s="479" t="n">
        <v>2028</v>
      </c>
      <c r="AE47" s="479" t="n">
        <v>2029</v>
      </c>
      <c r="AF47" s="479" t="n">
        <v>2030</v>
      </c>
      <c r="AG47" s="452"/>
      <c r="AH47" s="452"/>
    </row>
    <row r="48" customFormat="false" ht="12.75" hidden="false" customHeight="false" outlineLevel="0" collapsed="false">
      <c r="A48" s="480" t="s">
        <v>356</v>
      </c>
      <c r="B48" s="459" t="n">
        <f aca="false">+B37</f>
        <v>0</v>
      </c>
      <c r="C48" s="459" t="n">
        <f aca="false">+B42+C37</f>
        <v>2063.83772288893</v>
      </c>
      <c r="D48" s="459" t="n">
        <f aca="false">+C42+D37</f>
        <v>5979.19491821265</v>
      </c>
      <c r="E48" s="459" t="n">
        <f aca="false">+D42+E37</f>
        <v>5787.87927049561</v>
      </c>
      <c r="F48" s="459" t="n">
        <f aca="false">+E42+F37</f>
        <v>5581.29037376447</v>
      </c>
      <c r="G48" s="459" t="n">
        <f aca="false">+F42+G37</f>
        <v>5358.208922969</v>
      </c>
      <c r="H48" s="459" t="n">
        <f aca="false">+G42+H37</f>
        <v>5117.31827261729</v>
      </c>
      <c r="I48" s="459" t="n">
        <f aca="false">+H42+I37</f>
        <v>4857.1966658232</v>
      </c>
      <c r="J48" s="459" t="n">
        <f aca="false">+I42+J37</f>
        <v>4576.30884297767</v>
      </c>
      <c r="K48" s="459" t="n">
        <f aca="false">+J42+K37</f>
        <v>4272.99698051728</v>
      </c>
      <c r="L48" s="459" t="n">
        <f aca="false">+K42+L37</f>
        <v>3945.47090631013</v>
      </c>
      <c r="M48" s="459" t="n">
        <f aca="false">+L42+M37</f>
        <v>3591.79753390929</v>
      </c>
      <c r="N48" s="459" t="n">
        <f aca="false">+M42+N37</f>
        <v>3209.88945331393</v>
      </c>
      <c r="O48" s="459" t="n">
        <f aca="false">+N42+O37</f>
        <v>2797.4926108999</v>
      </c>
      <c r="P48" s="459" t="n">
        <f aca="false">+O42+P37</f>
        <v>2352.17300580555</v>
      </c>
      <c r="Q48" s="459" t="n">
        <f aca="false">+P42+Q37</f>
        <v>1871.30232425389</v>
      </c>
      <c r="R48" s="459" t="n">
        <f aca="false">+Q42+R37</f>
        <v>1352.04242702354</v>
      </c>
      <c r="S48" s="459" t="n">
        <f aca="false">+R42+S37</f>
        <v>791.328598512212</v>
      </c>
      <c r="T48" s="459" t="n">
        <f aca="false">+S42+T37</f>
        <v>185.85145852743</v>
      </c>
      <c r="U48" s="459" t="n">
        <f aca="false">+T42+U37</f>
        <v>0</v>
      </c>
      <c r="V48" s="459" t="n">
        <f aca="false">+U42+V37</f>
        <v>0</v>
      </c>
      <c r="W48" s="459" t="n">
        <f aca="false">+V42+W37</f>
        <v>0</v>
      </c>
      <c r="X48" s="459" t="n">
        <f aca="false">+W42+X37</f>
        <v>0</v>
      </c>
      <c r="Y48" s="459" t="n">
        <f aca="false">+X42+Y37</f>
        <v>0</v>
      </c>
      <c r="Z48" s="459" t="n">
        <f aca="false">+Y42+Z37</f>
        <v>0</v>
      </c>
      <c r="AA48" s="459" t="n">
        <f aca="false">+Z42+AA37</f>
        <v>0</v>
      </c>
      <c r="AB48" s="459" t="n">
        <f aca="false">+AA42+AB37</f>
        <v>0</v>
      </c>
      <c r="AC48" s="459" t="n">
        <f aca="false">+AB42+AC37</f>
        <v>0</v>
      </c>
      <c r="AD48" s="459" t="n">
        <f aca="false">+AC42+AD37</f>
        <v>0</v>
      </c>
      <c r="AE48" s="459" t="n">
        <f aca="false">+AD42+AE37</f>
        <v>0</v>
      </c>
      <c r="AF48" s="459" t="n">
        <f aca="false">+AE42+AF37</f>
        <v>0</v>
      </c>
      <c r="AG48" s="452"/>
      <c r="AH48" s="452"/>
    </row>
    <row r="49" customFormat="false" ht="12.75" hidden="false" customHeight="false" outlineLevel="0" collapsed="false">
      <c r="A49" s="118" t="s">
        <v>357</v>
      </c>
      <c r="B49" s="459" t="n">
        <v>0</v>
      </c>
      <c r="C49" s="452" t="n">
        <v>0</v>
      </c>
      <c r="D49" s="452" t="n">
        <v>0</v>
      </c>
      <c r="E49" s="452" t="n">
        <v>0</v>
      </c>
      <c r="F49" s="452" t="n">
        <v>0</v>
      </c>
      <c r="G49" s="452" t="n">
        <v>0</v>
      </c>
      <c r="H49" s="452" t="n">
        <v>0</v>
      </c>
      <c r="I49" s="452" t="n">
        <v>0</v>
      </c>
      <c r="J49" s="452" t="n">
        <v>0</v>
      </c>
      <c r="K49" s="452" t="n">
        <v>0</v>
      </c>
      <c r="L49" s="452" t="n">
        <v>0</v>
      </c>
      <c r="M49" s="452" t="n">
        <v>0</v>
      </c>
      <c r="N49" s="452" t="n">
        <v>0</v>
      </c>
      <c r="O49" s="452" t="n">
        <v>0</v>
      </c>
      <c r="P49" s="452" t="n">
        <v>0</v>
      </c>
      <c r="Q49" s="452" t="n">
        <v>0</v>
      </c>
      <c r="R49" s="452" t="n">
        <v>0</v>
      </c>
      <c r="S49" s="452" t="n">
        <v>0</v>
      </c>
      <c r="T49" s="452" t="n">
        <v>0</v>
      </c>
      <c r="U49" s="452" t="n">
        <v>0</v>
      </c>
      <c r="V49" s="452" t="n">
        <v>0</v>
      </c>
      <c r="W49" s="452" t="n">
        <v>0</v>
      </c>
      <c r="X49" s="452" t="n">
        <v>0</v>
      </c>
      <c r="Y49" s="452" t="n">
        <v>0</v>
      </c>
      <c r="Z49" s="452" t="n">
        <v>0</v>
      </c>
      <c r="AA49" s="452" t="n">
        <v>0</v>
      </c>
      <c r="AB49" s="452" t="n">
        <v>0</v>
      </c>
      <c r="AC49" s="452" t="n">
        <v>0</v>
      </c>
      <c r="AD49" s="452" t="n">
        <v>0</v>
      </c>
      <c r="AE49" s="452" t="n">
        <v>0</v>
      </c>
      <c r="AF49" s="452" t="n">
        <v>0</v>
      </c>
    </row>
    <row r="50" customFormat="false" ht="12.75" hidden="false" customHeight="false" outlineLevel="0" collapsed="false">
      <c r="A50" s="480" t="s">
        <v>358</v>
      </c>
      <c r="B50" s="459" t="n">
        <f aca="false">+IF(B56&lt;0,B36+B41+B56,B36+B41)</f>
        <v>0</v>
      </c>
      <c r="C50" s="459" t="n">
        <f aca="false">+IF(C56&lt;0,C36+B41+C56,C36+B41)</f>
        <v>2123.98799228771</v>
      </c>
      <c r="D50" s="459" t="n">
        <f aca="false">+IF(D56&lt;0,D36+C41+D56,D36+C41)</f>
        <v>2396.45651214064</v>
      </c>
      <c r="E50" s="459" t="n">
        <f aca="false">+IF(E56&lt;0,E36+D41+E56,E36+D41)</f>
        <v>2587.77215985768</v>
      </c>
      <c r="F50" s="459" t="n">
        <f aca="false">+IF(F56&lt;0,F36+E41+F56,F36+E41)</f>
        <v>2794.36105658882</v>
      </c>
      <c r="G50" s="459" t="n">
        <f aca="false">+IF(G56&lt;0,G36+F41+G56,G36+F41)</f>
        <v>3017.44250738428</v>
      </c>
      <c r="H50" s="459" t="n">
        <f aca="false">+IF(H56&lt;0,H36+G41+H56,H36+G41)</f>
        <v>3258.333157736</v>
      </c>
      <c r="I50" s="459" t="n">
        <f aca="false">+IF(I56&lt;0,I36+H41+I56,I36+H41)</f>
        <v>3518.45476453008</v>
      </c>
      <c r="J50" s="459" t="n">
        <f aca="false">+IF(J56&lt;0,J36+I41+J56,J36+I41)</f>
        <v>3799.34258737562</v>
      </c>
      <c r="K50" s="459" t="n">
        <f aca="false">+IF(K56&lt;0,K36+J41+K56,K36+J41)</f>
        <v>4102.65444983601</v>
      </c>
      <c r="L50" s="459" t="n">
        <f aca="false">+IF(L56&lt;0,L36+K41+L56,L36+K41)</f>
        <v>4430.18052404315</v>
      </c>
      <c r="M50" s="459" t="n">
        <f aca="false">+IF(M56&lt;0,M36+L41+M56,M36+L41)</f>
        <v>4783.853896444</v>
      </c>
      <c r="N50" s="459" t="n">
        <f aca="false">+IF(N56&lt;0,N36+M41+N56,N36+M41)</f>
        <v>5165.76197703935</v>
      </c>
      <c r="O50" s="459" t="n">
        <f aca="false">+IF(O56&lt;0,O36+N41+O56,O36+N41)</f>
        <v>5578.15881945339</v>
      </c>
      <c r="P50" s="459" t="n">
        <f aca="false">+IF(P56&lt;0,P36+O41+P56,P36+O41)</f>
        <v>6023.47842454774</v>
      </c>
      <c r="Q50" s="459" t="n">
        <f aca="false">+IF(Q56&lt;0,Q36+P41+Q56,Q36+P41)</f>
        <v>6504.34910609939</v>
      </c>
      <c r="R50" s="459" t="n">
        <f aca="false">+IF(R56&lt;0,R36+Q41+R56,R36+Q41)</f>
        <v>7023.60900332975</v>
      </c>
      <c r="S50" s="459" t="n">
        <f aca="false">+IF(S56&lt;0,S36+R41+S56,S36+R41)</f>
        <v>7584.32283184107</v>
      </c>
      <c r="T50" s="459" t="n">
        <f aca="false">+IF(T56&lt;0,T36+S41+T56,T36+S41)</f>
        <v>4381.72248574632</v>
      </c>
      <c r="U50" s="459" t="n">
        <f aca="false">+IF(U56&lt;0,U36+T41+U56,U36+T41)</f>
        <v>0</v>
      </c>
      <c r="V50" s="459" t="n">
        <f aca="false">+IF(V56&lt;0,V36+U41+V56,V36+U41)</f>
        <v>0</v>
      </c>
      <c r="W50" s="459" t="n">
        <f aca="false">+IF(W56&lt;0,W36+V41+W56,W36+V41)</f>
        <v>0</v>
      </c>
      <c r="X50" s="459" t="n">
        <f aca="false">+IF(X56&lt;0,X36+W41+X56,X36+W41)</f>
        <v>0</v>
      </c>
      <c r="Y50" s="459" t="n">
        <f aca="false">+IF(Y56&lt;0,Y36+X41+Y56,Y36+X41)</f>
        <v>0</v>
      </c>
      <c r="Z50" s="459" t="n">
        <f aca="false">+IF(Z56&lt;0,Z36+Y41+Z56,Z36+Y41)</f>
        <v>0</v>
      </c>
      <c r="AA50" s="459" t="n">
        <f aca="false">+IF(AA56&lt;0,AA36+Z41+AA56,AA36+Z41)</f>
        <v>0</v>
      </c>
      <c r="AB50" s="459" t="n">
        <f aca="false">+IF(AB56&lt;0,AB36+AA41+AB56,AB36+AA41)</f>
        <v>0</v>
      </c>
      <c r="AC50" s="459" t="n">
        <f aca="false">+IF(AC56&lt;0,AC36+AB41+AC56,AC36+AB41)</f>
        <v>0</v>
      </c>
      <c r="AD50" s="459" t="n">
        <f aca="false">+IF(AD56&lt;0,AD36+AC41+AD56,AD36+AC41)</f>
        <v>0</v>
      </c>
      <c r="AE50" s="459" t="n">
        <f aca="false">+IF(AE56&lt;0,AE36+AD41+AE56,AE36+AD41)</f>
        <v>0</v>
      </c>
      <c r="AF50" s="459" t="n">
        <f aca="false">+IF(AF56&lt;0,AF36+AE41+AF56,AF36+AE41)</f>
        <v>0</v>
      </c>
    </row>
    <row r="51" customFormat="false" ht="12.75" hidden="false" customHeight="false" outlineLevel="0" collapsed="false">
      <c r="B51" s="39"/>
    </row>
    <row r="52" customFormat="false" ht="12.75" hidden="false" customHeight="false" outlineLevel="0" collapsed="false">
      <c r="A52" s="452" t="s">
        <v>359</v>
      </c>
      <c r="B52" s="39"/>
      <c r="C52" s="452" t="n">
        <f aca="false">+C36+B41</f>
        <v>2123.98799228771</v>
      </c>
      <c r="D52" s="452" t="n">
        <f aca="false">+D36+C41</f>
        <v>2396.45651214064</v>
      </c>
      <c r="E52" s="452" t="n">
        <f aca="false">+E36+D41</f>
        <v>2587.77215985768</v>
      </c>
      <c r="F52" s="452" t="n">
        <f aca="false">+F36+E41</f>
        <v>2794.36105658882</v>
      </c>
      <c r="G52" s="452" t="n">
        <f aca="false">+G36+F41</f>
        <v>3017.44250738428</v>
      </c>
      <c r="H52" s="452" t="n">
        <f aca="false">+H36+G41</f>
        <v>3258.333157736</v>
      </c>
      <c r="I52" s="452" t="n">
        <f aca="false">+I36+H41</f>
        <v>3518.45476453008</v>
      </c>
      <c r="J52" s="452" t="n">
        <f aca="false">+J36+I41</f>
        <v>3799.34258737562</v>
      </c>
      <c r="K52" s="452" t="n">
        <f aca="false">+K36+J41</f>
        <v>4102.65444983601</v>
      </c>
      <c r="L52" s="452" t="n">
        <f aca="false">+L36+K41</f>
        <v>4430.18052404315</v>
      </c>
      <c r="M52" s="452" t="n">
        <f aca="false">+M36+L41</f>
        <v>4783.853896444</v>
      </c>
      <c r="N52" s="452" t="n">
        <f aca="false">+N36+M41</f>
        <v>5165.76197703935</v>
      </c>
      <c r="O52" s="452" t="n">
        <f aca="false">+O36+N41</f>
        <v>5578.15881945339</v>
      </c>
      <c r="P52" s="452" t="n">
        <f aca="false">+P36+O41</f>
        <v>6023.47842454774</v>
      </c>
      <c r="Q52" s="452" t="n">
        <f aca="false">+Q36+P41</f>
        <v>6504.34910609939</v>
      </c>
      <c r="R52" s="452" t="n">
        <f aca="false">+R36+Q41</f>
        <v>7023.60900332975</v>
      </c>
      <c r="S52" s="452" t="n">
        <f aca="false">+S36+R41</f>
        <v>7584.32283184107</v>
      </c>
      <c r="T52" s="452" t="n">
        <f aca="false">+T36+S41</f>
        <v>8189.79997182586</v>
      </c>
      <c r="U52" s="452" t="n">
        <f aca="false">+U36+T41</f>
        <v>0</v>
      </c>
      <c r="V52" s="452" t="n">
        <f aca="false">+V36+U41</f>
        <v>0</v>
      </c>
      <c r="W52" s="452" t="n">
        <f aca="false">+W36+V41</f>
        <v>0</v>
      </c>
      <c r="X52" s="452" t="n">
        <f aca="false">+X36+W41</f>
        <v>0</v>
      </c>
      <c r="Y52" s="452" t="n">
        <f aca="false">+Y36+X41</f>
        <v>0</v>
      </c>
      <c r="Z52" s="452" t="n">
        <f aca="false">+Z36+Y41</f>
        <v>0</v>
      </c>
      <c r="AA52" s="452" t="n">
        <f aca="false">+AA36+Z41</f>
        <v>0</v>
      </c>
      <c r="AB52" s="452" t="n">
        <f aca="false">+AB36+AA41</f>
        <v>0</v>
      </c>
      <c r="AC52" s="452" t="n">
        <f aca="false">+AC36+AB41</f>
        <v>0</v>
      </c>
      <c r="AD52" s="452" t="n">
        <f aca="false">+AD36+AC41</f>
        <v>0</v>
      </c>
      <c r="AE52" s="452" t="n">
        <f aca="false">+AE36+AD41</f>
        <v>0</v>
      </c>
      <c r="AF52" s="452" t="n">
        <f aca="false">+AF36+AE41</f>
        <v>0</v>
      </c>
    </row>
    <row r="53" customFormat="false" ht="12.75" hidden="false" customHeight="false" outlineLevel="0" collapsed="false">
      <c r="A53" s="452" t="s">
        <v>360</v>
      </c>
      <c r="B53" s="39"/>
      <c r="C53" s="452" t="n">
        <f aca="false">+SUM($C$52:C52)</f>
        <v>2123.98799228771</v>
      </c>
      <c r="D53" s="452" t="n">
        <f aca="false">+SUM($C$52:D52)</f>
        <v>4520.44450442835</v>
      </c>
      <c r="E53" s="452" t="n">
        <f aca="false">+SUM($C$52:E52)</f>
        <v>7108.21666428602</v>
      </c>
      <c r="F53" s="452" t="n">
        <f aca="false">+SUM($C$52:F52)</f>
        <v>9902.57772087484</v>
      </c>
      <c r="G53" s="452" t="n">
        <f aca="false">+SUM($C$52:G52)</f>
        <v>12920.0202282591</v>
      </c>
      <c r="H53" s="452" t="n">
        <f aca="false">+SUM($C$52:H52)</f>
        <v>16178.3533859951</v>
      </c>
      <c r="I53" s="452" t="n">
        <f aca="false">+SUM($C$52:I52)</f>
        <v>19696.8081505252</v>
      </c>
      <c r="J53" s="452" t="n">
        <f aca="false">+SUM($C$52:J52)</f>
        <v>23496.1507379008</v>
      </c>
      <c r="K53" s="452" t="n">
        <f aca="false">+SUM($C$52:K52)</f>
        <v>27598.8051877368</v>
      </c>
      <c r="L53" s="452" t="n">
        <f aca="false">+SUM($C$52:L52)</f>
        <v>32028.98571178</v>
      </c>
      <c r="M53" s="452" t="n">
        <f aca="false">+SUM($C$52:M52)</f>
        <v>36812.839608224</v>
      </c>
      <c r="N53" s="452" t="n">
        <f aca="false">+SUM($C$52:N52)</f>
        <v>41978.6015852633</v>
      </c>
      <c r="O53" s="452" t="n">
        <f aca="false">+SUM($C$52:O52)</f>
        <v>47556.7604047167</v>
      </c>
      <c r="P53" s="452" t="n">
        <f aca="false">+SUM($C$52:P52)</f>
        <v>53580.2388292645</v>
      </c>
      <c r="Q53" s="452" t="n">
        <f aca="false">+SUM($C$52:Q52)</f>
        <v>60084.5879353638</v>
      </c>
      <c r="R53" s="452" t="n">
        <f aca="false">+SUM($C$52:R52)</f>
        <v>67108.1969386936</v>
      </c>
      <c r="S53" s="452" t="n">
        <f aca="false">+SUM($C$52:S52)</f>
        <v>74692.5197705347</v>
      </c>
      <c r="T53" s="452" t="n">
        <f aca="false">+SUM($C$52:T52)</f>
        <v>82882.3197423605</v>
      </c>
      <c r="U53" s="452" t="n">
        <f aca="false">+SUM($C$52:U52)</f>
        <v>82882.3197423605</v>
      </c>
      <c r="V53" s="452" t="n">
        <f aca="false">+SUM($C$52:V52)</f>
        <v>82882.3197423605</v>
      </c>
      <c r="W53" s="452" t="n">
        <f aca="false">+SUM($C$52:W52)</f>
        <v>82882.3197423605</v>
      </c>
      <c r="X53" s="452" t="n">
        <f aca="false">+SUM($C$52:X52)</f>
        <v>82882.3197423605</v>
      </c>
      <c r="Y53" s="452" t="n">
        <f aca="false">+SUM($C$52:Y52)</f>
        <v>82882.3197423605</v>
      </c>
      <c r="Z53" s="452" t="n">
        <f aca="false">+SUM($C$52:Z52)</f>
        <v>82882.3197423605</v>
      </c>
      <c r="AA53" s="452" t="n">
        <f aca="false">+SUM($C$52:AA52)</f>
        <v>82882.3197423605</v>
      </c>
      <c r="AB53" s="452" t="n">
        <f aca="false">+SUM($C$52:AB52)</f>
        <v>82882.3197423605</v>
      </c>
      <c r="AC53" s="452" t="n">
        <f aca="false">+SUM($C$52:AC52)</f>
        <v>82882.3197423605</v>
      </c>
      <c r="AD53" s="452" t="n">
        <f aca="false">+SUM($C$52:AD52)</f>
        <v>82882.3197423605</v>
      </c>
      <c r="AE53" s="452" t="n">
        <f aca="false">+SUM($C$52:AE52)</f>
        <v>82882.3197423605</v>
      </c>
      <c r="AF53" s="452" t="n">
        <f aca="false">+SUM($C$52:AF52)</f>
        <v>82882.3197423605</v>
      </c>
    </row>
    <row r="54" customFormat="false" ht="12.75" hidden="false" customHeight="false" outlineLevel="0" collapsed="false">
      <c r="A54" s="474"/>
      <c r="B54" s="459"/>
      <c r="C54" s="459"/>
      <c r="D54" s="459"/>
      <c r="E54" s="459"/>
      <c r="F54" s="459"/>
      <c r="G54" s="459"/>
      <c r="H54" s="459"/>
      <c r="I54" s="459"/>
      <c r="J54" s="459"/>
      <c r="K54" s="459"/>
      <c r="L54" s="459"/>
      <c r="M54" s="459"/>
      <c r="N54" s="459"/>
      <c r="O54" s="459"/>
      <c r="P54" s="459"/>
      <c r="Q54" s="459"/>
      <c r="R54" s="459"/>
      <c r="S54" s="459"/>
      <c r="T54" s="459"/>
      <c r="U54" s="459"/>
      <c r="V54" s="459"/>
      <c r="W54" s="459"/>
      <c r="X54" s="459"/>
      <c r="Y54" s="459"/>
      <c r="Z54" s="459"/>
      <c r="AA54" s="459"/>
      <c r="AB54" s="459"/>
      <c r="AC54" s="459"/>
      <c r="AD54" s="459"/>
      <c r="AE54" s="459"/>
      <c r="AF54" s="459"/>
    </row>
    <row r="55" customFormat="false" ht="12.75" hidden="false" customHeight="false" outlineLevel="0" collapsed="false">
      <c r="A55" s="474"/>
      <c r="B55" s="459"/>
      <c r="C55" s="459"/>
      <c r="D55" s="459"/>
      <c r="E55" s="459"/>
      <c r="F55" s="459"/>
      <c r="G55" s="459"/>
      <c r="H55" s="459"/>
      <c r="I55" s="459"/>
      <c r="J55" s="459"/>
      <c r="K55" s="459"/>
      <c r="L55" s="459"/>
      <c r="M55" s="459"/>
      <c r="N55" s="459"/>
      <c r="O55" s="459"/>
      <c r="P55" s="459"/>
      <c r="Q55" s="459"/>
      <c r="R55" s="459"/>
      <c r="S55" s="459"/>
      <c r="T55" s="459"/>
      <c r="U55" s="459"/>
      <c r="V55" s="459"/>
      <c r="W55" s="459"/>
      <c r="X55" s="459"/>
      <c r="Y55" s="459"/>
      <c r="Z55" s="459"/>
      <c r="AA55" s="459"/>
      <c r="AB55" s="459"/>
      <c r="AC55" s="459"/>
      <c r="AD55" s="459"/>
      <c r="AE55" s="459"/>
      <c r="AF55" s="459"/>
    </row>
    <row r="56" customFormat="false" ht="12.75" hidden="false" customHeight="false" outlineLevel="0" collapsed="false">
      <c r="A56" s="452" t="s">
        <v>361</v>
      </c>
      <c r="B56" s="452" t="n">
        <f aca="false">+$B$35-B53</f>
        <v>79074.242256281</v>
      </c>
      <c r="C56" s="452" t="n">
        <f aca="false">+IF(B56&lt;=0,0,$B$35-C53)</f>
        <v>76950.2542639933</v>
      </c>
      <c r="D56" s="452" t="n">
        <f aca="false">+IF(C56&lt;=0,0,$B$35-D53)</f>
        <v>74553.7977518526</v>
      </c>
      <c r="E56" s="452" t="n">
        <f aca="false">+IF(D56&lt;=0,0,$B$35-E53)</f>
        <v>71966.025591995</v>
      </c>
      <c r="F56" s="452" t="n">
        <f aca="false">+IF(E56&lt;=0,0,$B$35-F53)</f>
        <v>69171.6645354061</v>
      </c>
      <c r="G56" s="452" t="n">
        <f aca="false">+IF(F56&lt;=0,0,$B$35-G53)</f>
        <v>66154.2220280219</v>
      </c>
      <c r="H56" s="452" t="n">
        <f aca="false">+IF(G56&lt;=0,0,$B$35-H53)</f>
        <v>62895.8888702859</v>
      </c>
      <c r="I56" s="452" t="n">
        <f aca="false">+IF(H56&lt;=0,0,$B$35-I53)</f>
        <v>59377.4341057558</v>
      </c>
      <c r="J56" s="452" t="n">
        <f aca="false">+IF(I56&lt;=0,0,$B$35-J53)</f>
        <v>55578.0915183802</v>
      </c>
      <c r="K56" s="452" t="n">
        <f aca="false">+IF(J56&lt;=0,0,$B$35-K53)</f>
        <v>51475.4370685442</v>
      </c>
      <c r="L56" s="452" t="n">
        <f aca="false">+IF(K56&lt;=0,0,$B$35-L53)</f>
        <v>47045.256544501</v>
      </c>
      <c r="M56" s="452" t="n">
        <f aca="false">+IF(L56&lt;=0,0,$B$35-M53)</f>
        <v>42261.402648057</v>
      </c>
      <c r="N56" s="452" t="n">
        <f aca="false">+IF(M56&lt;=0,0,$B$35-N53)</f>
        <v>37095.6406710177</v>
      </c>
      <c r="O56" s="452" t="n">
        <f aca="false">+IF(N56&lt;=0,0,$B$35-O53)</f>
        <v>31517.4818515643</v>
      </c>
      <c r="P56" s="452" t="n">
        <f aca="false">+IF(O56&lt;=0,0,$B$35-P53)</f>
        <v>25494.0034270165</v>
      </c>
      <c r="Q56" s="452" t="n">
        <f aca="false">+IF(P56&lt;=0,0,$B$35-Q53)</f>
        <v>18989.6543209171</v>
      </c>
      <c r="R56" s="452" t="n">
        <f aca="false">+IF(Q56&lt;=0,0,$B$35-R53)</f>
        <v>11966.0453175874</v>
      </c>
      <c r="S56" s="452" t="n">
        <f aca="false">+IF(R56&lt;=0,0,$B$35-S53)</f>
        <v>4381.72248574632</v>
      </c>
      <c r="T56" s="452" t="n">
        <f aca="false">+IF(S56&lt;=0,0,$B$35-T53)</f>
        <v>-3808.07748607954</v>
      </c>
      <c r="U56" s="452" t="n">
        <f aca="false">+IF(T56&lt;=0,0,$B$35-U53)</f>
        <v>0</v>
      </c>
      <c r="V56" s="452" t="n">
        <f aca="false">+IF(U56&lt;=0,0,$B$35-V53)</f>
        <v>0</v>
      </c>
      <c r="W56" s="452" t="n">
        <f aca="false">+IF(V56&lt;=0,0,$B$35-W53)</f>
        <v>0</v>
      </c>
      <c r="X56" s="452" t="n">
        <f aca="false">+IF(W56&lt;=0,0,$B$35-X53)</f>
        <v>0</v>
      </c>
      <c r="Y56" s="452" t="n">
        <f aca="false">+IF(X56&lt;=0,0,$B$35-Y53)</f>
        <v>0</v>
      </c>
      <c r="Z56" s="452" t="n">
        <f aca="false">+IF(Y56&lt;=0,0,$B$35-Z53)</f>
        <v>0</v>
      </c>
      <c r="AA56" s="452" t="n">
        <f aca="false">+IF(Z56&lt;=0,0,$B$35-AA53)</f>
        <v>0</v>
      </c>
      <c r="AB56" s="452" t="n">
        <f aca="false">+IF(AA56&lt;=0,0,$B$35-AB53)</f>
        <v>0</v>
      </c>
      <c r="AC56" s="452" t="n">
        <f aca="false">+IF(AB56&lt;=0,0,$B$35-AC53)</f>
        <v>0</v>
      </c>
      <c r="AD56" s="452" t="n">
        <f aca="false">+IF(AC56&lt;=0,0,$B$35-AD53)</f>
        <v>0</v>
      </c>
      <c r="AE56" s="452" t="n">
        <f aca="false">+IF(AD56&lt;=0,0,$B$35-AE53)</f>
        <v>0</v>
      </c>
      <c r="AF56" s="452" t="n">
        <f aca="false">+IF(AE56&lt;=0,0,$B$35-AF53)</f>
        <v>0</v>
      </c>
    </row>
    <row r="57" customFormat="false" ht="12.75" hidden="false" customHeight="false" outlineLevel="0" collapsed="false">
      <c r="A57" s="452"/>
      <c r="B57" s="39"/>
      <c r="C57" s="452"/>
      <c r="D57" s="452"/>
      <c r="E57" s="452"/>
      <c r="F57" s="452"/>
      <c r="G57" s="452"/>
      <c r="H57" s="452"/>
      <c r="I57" s="452"/>
      <c r="J57" s="452"/>
      <c r="K57" s="452"/>
      <c r="L57" s="452"/>
      <c r="M57" s="452"/>
      <c r="N57" s="452"/>
      <c r="O57" s="452"/>
      <c r="P57" s="452"/>
      <c r="Q57" s="452"/>
      <c r="R57" s="452"/>
      <c r="S57" s="452"/>
      <c r="T57" s="452"/>
      <c r="U57" s="452"/>
      <c r="V57" s="452"/>
      <c r="W57" s="452"/>
      <c r="X57" s="452"/>
      <c r="Y57" s="452"/>
      <c r="Z57" s="452"/>
      <c r="AA57" s="452"/>
      <c r="AB57" s="452"/>
      <c r="AC57" s="452"/>
      <c r="AD57" s="452"/>
      <c r="AE57" s="452"/>
      <c r="AF57" s="452"/>
    </row>
    <row r="58" customFormat="false" ht="12.75" hidden="false" customHeight="false" outlineLevel="0" collapsed="false">
      <c r="A58" s="452"/>
      <c r="B58" s="39"/>
      <c r="C58" s="452"/>
      <c r="D58" s="452"/>
      <c r="E58" s="452"/>
      <c r="F58" s="452"/>
      <c r="G58" s="452"/>
      <c r="H58" s="452"/>
      <c r="I58" s="452"/>
      <c r="J58" s="452"/>
      <c r="K58" s="452"/>
      <c r="L58" s="452"/>
      <c r="M58" s="452"/>
      <c r="N58" s="452"/>
      <c r="O58" s="452"/>
      <c r="P58" s="452"/>
      <c r="Q58" s="452"/>
      <c r="R58" s="452"/>
      <c r="S58" s="452"/>
      <c r="T58" s="452"/>
      <c r="U58" s="452"/>
      <c r="V58" s="452"/>
      <c r="W58" s="452"/>
      <c r="X58" s="452"/>
      <c r="Y58" s="452"/>
      <c r="Z58" s="452"/>
      <c r="AA58" s="452"/>
      <c r="AB58" s="452"/>
      <c r="AC58" s="452"/>
      <c r="AD58" s="452"/>
      <c r="AE58" s="452"/>
      <c r="AF58" s="452"/>
    </row>
    <row r="59" customFormat="false" ht="12.75" hidden="false" customHeight="false" outlineLevel="0" collapsed="false">
      <c r="A59" s="452"/>
      <c r="B59" s="39"/>
      <c r="C59" s="452"/>
      <c r="D59" s="452"/>
      <c r="E59" s="452"/>
      <c r="F59" s="452"/>
      <c r="G59" s="452"/>
      <c r="H59" s="452"/>
      <c r="I59" s="452"/>
      <c r="J59" s="452"/>
      <c r="K59" s="452"/>
      <c r="L59" s="452"/>
      <c r="M59" s="452"/>
      <c r="N59" s="452"/>
      <c r="O59" s="452"/>
      <c r="P59" s="452"/>
      <c r="Q59" s="452"/>
      <c r="R59" s="452"/>
      <c r="S59" s="452"/>
      <c r="T59" s="452"/>
      <c r="U59" s="452"/>
      <c r="V59" s="452"/>
      <c r="W59" s="452"/>
      <c r="X59" s="452"/>
      <c r="Y59" s="452"/>
      <c r="Z59" s="452"/>
      <c r="AA59" s="452"/>
      <c r="AB59" s="452"/>
      <c r="AC59" s="452"/>
      <c r="AD59" s="452"/>
      <c r="AE59" s="452"/>
      <c r="AF59" s="452"/>
    </row>
    <row r="60" customFormat="false" ht="12.75" hidden="false" customHeight="false" outlineLevel="0" collapsed="false">
      <c r="A60" s="452"/>
      <c r="B60" s="39"/>
      <c r="C60" s="452"/>
      <c r="D60" s="452"/>
      <c r="E60" s="452"/>
      <c r="F60" s="452"/>
      <c r="G60" s="452"/>
      <c r="H60" s="452"/>
      <c r="I60" s="452"/>
      <c r="J60" s="452"/>
      <c r="K60" s="452"/>
      <c r="L60" s="452"/>
      <c r="M60" s="452"/>
      <c r="N60" s="452"/>
      <c r="O60" s="452"/>
      <c r="P60" s="452"/>
      <c r="Q60" s="452"/>
      <c r="R60" s="452"/>
      <c r="S60" s="452"/>
      <c r="T60" s="452"/>
      <c r="U60" s="452"/>
      <c r="V60" s="452"/>
      <c r="W60" s="452"/>
      <c r="X60" s="452"/>
      <c r="Y60" s="452"/>
      <c r="Z60" s="452"/>
      <c r="AA60" s="452"/>
      <c r="AB60" s="452"/>
      <c r="AC60" s="452"/>
      <c r="AD60" s="452"/>
      <c r="AE60" s="452"/>
      <c r="AF60" s="452"/>
    </row>
    <row r="61" customFormat="false" ht="12.75" hidden="false" customHeight="false" outlineLevel="0" collapsed="false">
      <c r="A61" s="452"/>
      <c r="B61" s="39"/>
      <c r="C61" s="452"/>
      <c r="D61" s="452"/>
      <c r="E61" s="452"/>
      <c r="F61" s="452"/>
      <c r="G61" s="452"/>
      <c r="H61" s="452"/>
      <c r="I61" s="452"/>
      <c r="J61" s="452"/>
      <c r="K61" s="452"/>
      <c r="L61" s="452"/>
      <c r="M61" s="452"/>
      <c r="N61" s="452"/>
      <c r="O61" s="452"/>
      <c r="P61" s="452"/>
      <c r="Q61" s="452"/>
      <c r="R61" s="452"/>
      <c r="S61" s="452"/>
      <c r="T61" s="452"/>
      <c r="U61" s="452"/>
      <c r="V61" s="452"/>
      <c r="W61" s="452"/>
      <c r="X61" s="452"/>
      <c r="Y61" s="452"/>
      <c r="Z61" s="452"/>
      <c r="AA61" s="452"/>
      <c r="AB61" s="452"/>
      <c r="AC61" s="452"/>
      <c r="AD61" s="452"/>
      <c r="AE61" s="452"/>
      <c r="AF61" s="452"/>
    </row>
    <row r="62" customFormat="false" ht="12.75" hidden="false" customHeight="false" outlineLevel="0" collapsed="false">
      <c r="A62" s="452"/>
      <c r="B62" s="39"/>
      <c r="C62" s="481"/>
      <c r="D62" s="452"/>
      <c r="E62" s="452"/>
      <c r="F62" s="452"/>
      <c r="G62" s="452"/>
      <c r="H62" s="452"/>
      <c r="I62" s="452"/>
      <c r="J62" s="452"/>
      <c r="K62" s="452"/>
      <c r="L62" s="452"/>
      <c r="M62" s="452"/>
      <c r="N62" s="452"/>
      <c r="O62" s="452"/>
      <c r="P62" s="452"/>
      <c r="Q62" s="452"/>
      <c r="R62" s="452"/>
      <c r="S62" s="452"/>
      <c r="T62" s="452"/>
      <c r="U62" s="452"/>
      <c r="V62" s="452"/>
      <c r="W62" s="452"/>
      <c r="X62" s="452"/>
      <c r="Y62" s="452"/>
      <c r="Z62" s="452"/>
      <c r="AA62" s="452"/>
      <c r="AB62" s="452"/>
      <c r="AC62" s="452"/>
      <c r="AD62" s="452"/>
      <c r="AE62" s="452"/>
      <c r="AF62" s="452"/>
    </row>
    <row r="63" customFormat="false" ht="12.75" hidden="true" customHeight="false" outlineLevel="1" collapsed="false">
      <c r="A63" s="482" t="str">
        <f aca="false">CONCATENATE("Tranche 2 @ ",L7*100,"%")</f>
        <v>Tranche 2 @ 0%</v>
      </c>
      <c r="B63" s="39"/>
      <c r="C63" s="473"/>
    </row>
    <row r="64" customFormat="false" ht="12.75" hidden="true" customHeight="false" outlineLevel="1" collapsed="false">
      <c r="A64" s="483" t="n">
        <f aca="false">A34</f>
        <v>36739</v>
      </c>
      <c r="B64" s="459"/>
    </row>
    <row r="65" customFormat="false" ht="12.75" hidden="true" customHeight="false" outlineLevel="1" collapsed="false">
      <c r="A65" s="452" t="s">
        <v>302</v>
      </c>
      <c r="B65" s="484" t="n">
        <f aca="false">L10</f>
        <v>0</v>
      </c>
      <c r="C65" s="452" t="n">
        <f aca="false">B73</f>
        <v>0</v>
      </c>
      <c r="D65" s="452" t="n">
        <f aca="false">C73</f>
        <v>0</v>
      </c>
      <c r="E65" s="452" t="n">
        <f aca="false">D73</f>
        <v>0</v>
      </c>
      <c r="F65" s="452" t="n">
        <f aca="false">E73</f>
        <v>0</v>
      </c>
      <c r="G65" s="452" t="n">
        <f aca="false">F73</f>
        <v>0</v>
      </c>
      <c r="H65" s="452" t="n">
        <f aca="false">G73</f>
        <v>0</v>
      </c>
      <c r="I65" s="452" t="n">
        <f aca="false">H73</f>
        <v>0</v>
      </c>
      <c r="J65" s="452" t="n">
        <f aca="false">I73</f>
        <v>0</v>
      </c>
      <c r="K65" s="452" t="n">
        <f aca="false">J73</f>
        <v>0</v>
      </c>
      <c r="L65" s="452" t="n">
        <f aca="false">K73</f>
        <v>0</v>
      </c>
      <c r="M65" s="452" t="n">
        <f aca="false">L73</f>
        <v>0</v>
      </c>
      <c r="N65" s="452" t="n">
        <f aca="false">M73</f>
        <v>0</v>
      </c>
      <c r="O65" s="452" t="n">
        <f aca="false">N73</f>
        <v>0</v>
      </c>
      <c r="P65" s="452" t="n">
        <f aca="false">O73</f>
        <v>0</v>
      </c>
      <c r="Q65" s="452" t="n">
        <f aca="false">P73</f>
        <v>0</v>
      </c>
      <c r="R65" s="452" t="n">
        <f aca="false">Q73</f>
        <v>0</v>
      </c>
      <c r="S65" s="452" t="n">
        <f aca="false">R73</f>
        <v>0</v>
      </c>
      <c r="T65" s="452" t="n">
        <f aca="false">S73</f>
        <v>0</v>
      </c>
      <c r="U65" s="452" t="n">
        <f aca="false">T73</f>
        <v>0</v>
      </c>
      <c r="V65" s="452" t="n">
        <f aca="false">U73</f>
        <v>0</v>
      </c>
      <c r="W65" s="452" t="n">
        <f aca="false">V73</f>
        <v>0</v>
      </c>
      <c r="X65" s="452" t="n">
        <f aca="false">W73</f>
        <v>0</v>
      </c>
      <c r="Y65" s="452" t="n">
        <f aca="false">X73</f>
        <v>0</v>
      </c>
      <c r="Z65" s="452" t="n">
        <f aca="false">Y73</f>
        <v>0</v>
      </c>
      <c r="AA65" s="452" t="n">
        <f aca="false">Z73</f>
        <v>0</v>
      </c>
      <c r="AB65" s="452" t="n">
        <f aca="false">AA73</f>
        <v>0</v>
      </c>
      <c r="AC65" s="452" t="n">
        <f aca="false">AB73</f>
        <v>0</v>
      </c>
      <c r="AD65" s="452" t="n">
        <f aca="false">AC73</f>
        <v>0</v>
      </c>
      <c r="AE65" s="452" t="n">
        <f aca="false">AD73</f>
        <v>0</v>
      </c>
      <c r="AF65" s="452" t="n">
        <f aca="false">AE73</f>
        <v>0</v>
      </c>
      <c r="AG65" s="452"/>
      <c r="AH65" s="225"/>
    </row>
    <row r="66" customFormat="false" ht="12.75" hidden="true" customHeight="false" outlineLevel="1" collapsed="false">
      <c r="A66" s="452" t="s">
        <v>354</v>
      </c>
      <c r="B66" s="459" t="n">
        <v>0</v>
      </c>
      <c r="C66" s="452" t="n">
        <f aca="false">$B$65*C28/2</f>
        <v>0</v>
      </c>
      <c r="D66" s="452" t="n">
        <f aca="false">$B$65*D28/2</f>
        <v>0</v>
      </c>
      <c r="E66" s="452" t="n">
        <f aca="false">$B$65*E28/2</f>
        <v>0</v>
      </c>
      <c r="F66" s="452" t="n">
        <f aca="false">$B$65*F28/2</f>
        <v>0</v>
      </c>
      <c r="G66" s="452" t="n">
        <f aca="false">$B$65*G28/2</f>
        <v>0</v>
      </c>
      <c r="H66" s="452" t="n">
        <f aca="false">$B$65*H28/2</f>
        <v>0</v>
      </c>
      <c r="I66" s="452" t="n">
        <f aca="false">$B$65*I28/2</f>
        <v>0</v>
      </c>
      <c r="J66" s="452" t="n">
        <f aca="false">$B$65*J28/2</f>
        <v>0</v>
      </c>
      <c r="K66" s="452" t="n">
        <f aca="false">$B$65*K28/2</f>
        <v>0</v>
      </c>
      <c r="L66" s="452" t="n">
        <f aca="false">$B$65*L28/2</f>
        <v>0</v>
      </c>
      <c r="M66" s="452" t="n">
        <f aca="false">$B$65*M28/2</f>
        <v>0</v>
      </c>
      <c r="N66" s="452" t="n">
        <f aca="false">$B$65*N28/2</f>
        <v>0</v>
      </c>
      <c r="O66" s="452" t="n">
        <f aca="false">$B$65*O28/2</f>
        <v>0</v>
      </c>
      <c r="P66" s="452" t="n">
        <f aca="false">$B$65*P28/2</f>
        <v>0</v>
      </c>
      <c r="Q66" s="452" t="n">
        <f aca="false">$B$65*Q28/2</f>
        <v>0</v>
      </c>
      <c r="R66" s="452" t="n">
        <f aca="false">$B$65*R28/2</f>
        <v>0</v>
      </c>
      <c r="S66" s="452" t="n">
        <f aca="false">$B$65*S28/2</f>
        <v>0</v>
      </c>
      <c r="T66" s="452" t="n">
        <f aca="false">$B$65*T28/2</f>
        <v>0</v>
      </c>
      <c r="U66" s="452" t="n">
        <f aca="false">$B$65*U28/2</f>
        <v>0</v>
      </c>
      <c r="V66" s="452" t="n">
        <f aca="false">$B$65*V28/2</f>
        <v>0</v>
      </c>
      <c r="W66" s="452" t="n">
        <f aca="false">$B$65*W28/2</f>
        <v>0</v>
      </c>
      <c r="X66" s="452" t="n">
        <f aca="false">$B$65*X28/2</f>
        <v>0</v>
      </c>
      <c r="Y66" s="452" t="n">
        <f aca="false">$B$65*Y28/2</f>
        <v>0</v>
      </c>
      <c r="Z66" s="452" t="n">
        <f aca="false">$B$65*Z28/2</f>
        <v>0</v>
      </c>
      <c r="AA66" s="452" t="n">
        <f aca="false">$B$65*AA28/2</f>
        <v>0</v>
      </c>
      <c r="AB66" s="452" t="n">
        <f aca="false">$B$65*AB28/2</f>
        <v>0</v>
      </c>
      <c r="AC66" s="452" t="n">
        <f aca="false">$B$65*AC28/2</f>
        <v>0</v>
      </c>
      <c r="AD66" s="452" t="n">
        <f aca="false">$B$65*AD28/2</f>
        <v>0</v>
      </c>
      <c r="AE66" s="452" t="n">
        <f aca="false">$B$65*AE28/2</f>
        <v>0</v>
      </c>
      <c r="AF66" s="452" t="n">
        <f aca="false">$B$65*AF28/2</f>
        <v>0</v>
      </c>
      <c r="AG66" s="452"/>
      <c r="AH66" s="225"/>
    </row>
    <row r="67" customFormat="false" ht="12.75" hidden="true" customHeight="false" outlineLevel="1" collapsed="false">
      <c r="A67" s="452" t="s">
        <v>355</v>
      </c>
      <c r="B67" s="459" t="n">
        <v>0</v>
      </c>
      <c r="C67" s="452" t="n">
        <f aca="false">C65*$L$7/2</f>
        <v>0</v>
      </c>
      <c r="D67" s="452" t="n">
        <f aca="false">D65*$L$7/2</f>
        <v>0</v>
      </c>
      <c r="E67" s="452" t="n">
        <f aca="false">E65*$L$7/2</f>
        <v>0</v>
      </c>
      <c r="F67" s="452" t="n">
        <f aca="false">F65*$L$7/2</f>
        <v>0</v>
      </c>
      <c r="G67" s="452" t="n">
        <f aca="false">G65*$L$7/2</f>
        <v>0</v>
      </c>
      <c r="H67" s="452" t="n">
        <f aca="false">H65*$L$7/2</f>
        <v>0</v>
      </c>
      <c r="I67" s="452" t="n">
        <f aca="false">I65*$L$7/2</f>
        <v>0</v>
      </c>
      <c r="J67" s="452" t="n">
        <f aca="false">J65*$L$7/2</f>
        <v>0</v>
      </c>
      <c r="K67" s="452" t="n">
        <f aca="false">K65*$L$7/2</f>
        <v>0</v>
      </c>
      <c r="L67" s="452" t="n">
        <f aca="false">L65*$L$7/2</f>
        <v>0</v>
      </c>
      <c r="M67" s="452" t="n">
        <f aca="false">M65*$L$7/2</f>
        <v>0</v>
      </c>
      <c r="N67" s="452" t="n">
        <f aca="false">N65*$L$7/2</f>
        <v>0</v>
      </c>
      <c r="O67" s="452" t="n">
        <f aca="false">O65*$L$7/2</f>
        <v>0</v>
      </c>
      <c r="P67" s="452" t="n">
        <f aca="false">P65*$L$7/2</f>
        <v>0</v>
      </c>
      <c r="Q67" s="452" t="n">
        <f aca="false">Q65*$L$7/2</f>
        <v>0</v>
      </c>
      <c r="R67" s="452" t="n">
        <f aca="false">R65*$L$7/2</f>
        <v>0</v>
      </c>
      <c r="S67" s="452" t="n">
        <f aca="false">S65*$L$7/2</f>
        <v>0</v>
      </c>
      <c r="T67" s="452" t="n">
        <f aca="false">T65*$L$7/2</f>
        <v>0</v>
      </c>
      <c r="U67" s="452" t="n">
        <f aca="false">U65*$L$7/2</f>
        <v>0</v>
      </c>
      <c r="V67" s="452" t="n">
        <f aca="false">V65*$L$7/2</f>
        <v>0</v>
      </c>
      <c r="W67" s="452" t="n">
        <f aca="false">W65*$L$7/2</f>
        <v>0</v>
      </c>
      <c r="X67" s="452" t="n">
        <f aca="false">X65*$L$7/2</f>
        <v>0</v>
      </c>
      <c r="Y67" s="452" t="n">
        <f aca="false">Y65*$L$7/2</f>
        <v>0</v>
      </c>
      <c r="Z67" s="452" t="n">
        <f aca="false">Z65*$L$7/2</f>
        <v>0</v>
      </c>
      <c r="AA67" s="452" t="n">
        <f aca="false">AA65*$L$7/2</f>
        <v>0</v>
      </c>
      <c r="AB67" s="452" t="n">
        <f aca="false">AB65*$L$7/2</f>
        <v>0</v>
      </c>
      <c r="AC67" s="452" t="n">
        <f aca="false">AC65*$L$7/2</f>
        <v>0</v>
      </c>
      <c r="AD67" s="452" t="n">
        <f aca="false">AD65*$L$7/2</f>
        <v>0</v>
      </c>
      <c r="AE67" s="452" t="n">
        <f aca="false">AE65*$L$7/2</f>
        <v>0</v>
      </c>
      <c r="AF67" s="452" t="n">
        <f aca="false">AF65*$L$7/2</f>
        <v>0</v>
      </c>
      <c r="AG67" s="452"/>
      <c r="AH67" s="225"/>
    </row>
    <row r="68" customFormat="false" ht="12.75" hidden="true" customHeight="false" outlineLevel="1" collapsed="false">
      <c r="A68" s="452" t="s">
        <v>310</v>
      </c>
      <c r="B68" s="459" t="n">
        <f aca="false">B65-B66</f>
        <v>0</v>
      </c>
      <c r="C68" s="452" t="n">
        <f aca="false">C65-C66</f>
        <v>0</v>
      </c>
      <c r="D68" s="452" t="n">
        <f aca="false">D65-D66</f>
        <v>0</v>
      </c>
      <c r="E68" s="452" t="n">
        <f aca="false">E65-E66</f>
        <v>0</v>
      </c>
      <c r="F68" s="452" t="n">
        <f aca="false">F65-F66</f>
        <v>0</v>
      </c>
      <c r="G68" s="452" t="n">
        <f aca="false">G65-G66</f>
        <v>0</v>
      </c>
      <c r="H68" s="452" t="n">
        <f aca="false">H65-H66</f>
        <v>0</v>
      </c>
      <c r="I68" s="452" t="n">
        <f aca="false">I65-I66</f>
        <v>0</v>
      </c>
      <c r="J68" s="452" t="n">
        <f aca="false">J65-J66</f>
        <v>0</v>
      </c>
      <c r="K68" s="452" t="n">
        <f aca="false">K65-K66</f>
        <v>0</v>
      </c>
      <c r="L68" s="452" t="n">
        <f aca="false">L65-L66</f>
        <v>0</v>
      </c>
      <c r="M68" s="452" t="n">
        <f aca="false">M65-M66</f>
        <v>0</v>
      </c>
      <c r="N68" s="452" t="n">
        <f aca="false">N65-N66</f>
        <v>0</v>
      </c>
      <c r="O68" s="452" t="n">
        <f aca="false">O65-O66</f>
        <v>0</v>
      </c>
      <c r="P68" s="452" t="n">
        <f aca="false">P65-P66</f>
        <v>0</v>
      </c>
      <c r="Q68" s="452" t="n">
        <f aca="false">Q65-Q66</f>
        <v>0</v>
      </c>
      <c r="R68" s="452" t="n">
        <f aca="false">R65-R66</f>
        <v>0</v>
      </c>
      <c r="S68" s="452" t="n">
        <f aca="false">S65-S66</f>
        <v>0</v>
      </c>
      <c r="T68" s="452" t="n">
        <f aca="false">T65-T66</f>
        <v>0</v>
      </c>
      <c r="U68" s="452" t="n">
        <f aca="false">U65-U66</f>
        <v>0</v>
      </c>
      <c r="V68" s="452" t="n">
        <f aca="false">V65-V66</f>
        <v>0</v>
      </c>
      <c r="W68" s="452" t="n">
        <f aca="false">W65-W66</f>
        <v>0</v>
      </c>
      <c r="X68" s="452" t="n">
        <f aca="false">X65-X66</f>
        <v>0</v>
      </c>
      <c r="Y68" s="452" t="n">
        <f aca="false">Y65-Y66</f>
        <v>0</v>
      </c>
      <c r="Z68" s="452" t="n">
        <f aca="false">Z65-Z66</f>
        <v>0</v>
      </c>
      <c r="AA68" s="452" t="n">
        <f aca="false">AA65-AA66</f>
        <v>0</v>
      </c>
      <c r="AB68" s="452" t="n">
        <f aca="false">AB65-AB66</f>
        <v>0</v>
      </c>
      <c r="AC68" s="452" t="n">
        <f aca="false">AC65-AC66</f>
        <v>0</v>
      </c>
      <c r="AD68" s="452" t="n">
        <f aca="false">AD65-AD66</f>
        <v>0</v>
      </c>
      <c r="AE68" s="452" t="n">
        <f aca="false">AE65-AE66</f>
        <v>0</v>
      </c>
      <c r="AF68" s="452" t="n">
        <f aca="false">AF65-AF66</f>
        <v>0</v>
      </c>
      <c r="AG68" s="452"/>
      <c r="AH68" s="225"/>
    </row>
    <row r="69" customFormat="false" ht="12.75" hidden="true" customHeight="false" outlineLevel="1" collapsed="false">
      <c r="A69" s="483" t="n">
        <f aca="false">A39</f>
        <v>36557</v>
      </c>
      <c r="B69" s="459"/>
      <c r="C69" s="452"/>
      <c r="D69" s="452"/>
      <c r="E69" s="452"/>
      <c r="F69" s="452"/>
      <c r="G69" s="452"/>
      <c r="H69" s="452"/>
      <c r="I69" s="452"/>
      <c r="J69" s="452"/>
      <c r="K69" s="452"/>
      <c r="L69" s="452"/>
      <c r="M69" s="452"/>
      <c r="N69" s="452"/>
      <c r="O69" s="452"/>
      <c r="P69" s="452"/>
      <c r="Q69" s="452"/>
      <c r="R69" s="452"/>
      <c r="S69" s="452"/>
      <c r="T69" s="452"/>
      <c r="U69" s="452"/>
      <c r="V69" s="452"/>
      <c r="W69" s="452"/>
      <c r="X69" s="452"/>
      <c r="Y69" s="452"/>
      <c r="Z69" s="452"/>
      <c r="AA69" s="452"/>
      <c r="AB69" s="452"/>
      <c r="AC69" s="452"/>
      <c r="AD69" s="452"/>
      <c r="AE69" s="452"/>
      <c r="AF69" s="452"/>
      <c r="AG69" s="452"/>
      <c r="AH69" s="225"/>
    </row>
    <row r="70" customFormat="false" ht="12.75" hidden="true" customHeight="false" outlineLevel="1" collapsed="false">
      <c r="A70" s="452" t="s">
        <v>302</v>
      </c>
      <c r="B70" s="459" t="n">
        <f aca="false">B68</f>
        <v>0</v>
      </c>
      <c r="C70" s="459" t="n">
        <f aca="false">C68</f>
        <v>0</v>
      </c>
      <c r="D70" s="459" t="n">
        <f aca="false">D68</f>
        <v>0</v>
      </c>
      <c r="E70" s="459" t="n">
        <f aca="false">E68</f>
        <v>0</v>
      </c>
      <c r="F70" s="459" t="n">
        <f aca="false">F68</f>
        <v>0</v>
      </c>
      <c r="G70" s="459" t="n">
        <f aca="false">G68</f>
        <v>0</v>
      </c>
      <c r="H70" s="459" t="n">
        <f aca="false">H68</f>
        <v>0</v>
      </c>
      <c r="I70" s="459" t="n">
        <f aca="false">I68</f>
        <v>0</v>
      </c>
      <c r="J70" s="459" t="n">
        <f aca="false">J68</f>
        <v>0</v>
      </c>
      <c r="K70" s="459" t="n">
        <f aca="false">K68</f>
        <v>0</v>
      </c>
      <c r="L70" s="459" t="n">
        <f aca="false">L68</f>
        <v>0</v>
      </c>
      <c r="M70" s="459" t="n">
        <f aca="false">M68</f>
        <v>0</v>
      </c>
      <c r="N70" s="459" t="n">
        <f aca="false">N68</f>
        <v>0</v>
      </c>
      <c r="O70" s="459" t="n">
        <f aca="false">O68</f>
        <v>0</v>
      </c>
      <c r="P70" s="459" t="n">
        <f aca="false">P68</f>
        <v>0</v>
      </c>
      <c r="Q70" s="459" t="n">
        <f aca="false">Q68</f>
        <v>0</v>
      </c>
      <c r="R70" s="459" t="n">
        <f aca="false">R68</f>
        <v>0</v>
      </c>
      <c r="S70" s="459" t="n">
        <f aca="false">S68</f>
        <v>0</v>
      </c>
      <c r="T70" s="459" t="n">
        <f aca="false">T68</f>
        <v>0</v>
      </c>
      <c r="U70" s="459" t="n">
        <f aca="false">U68</f>
        <v>0</v>
      </c>
      <c r="V70" s="459" t="n">
        <f aca="false">V68</f>
        <v>0</v>
      </c>
      <c r="W70" s="459" t="n">
        <f aca="false">W68</f>
        <v>0</v>
      </c>
      <c r="X70" s="459" t="n">
        <f aca="false">X68</f>
        <v>0</v>
      </c>
      <c r="Y70" s="459" t="n">
        <f aca="false">Y68</f>
        <v>0</v>
      </c>
      <c r="Z70" s="459" t="n">
        <f aca="false">Z68</f>
        <v>0</v>
      </c>
      <c r="AA70" s="459" t="n">
        <f aca="false">AA68</f>
        <v>0</v>
      </c>
      <c r="AB70" s="459" t="n">
        <f aca="false">AB68</f>
        <v>0</v>
      </c>
      <c r="AC70" s="459" t="n">
        <f aca="false">AC68</f>
        <v>0</v>
      </c>
      <c r="AD70" s="459" t="n">
        <f aca="false">AD68</f>
        <v>0</v>
      </c>
      <c r="AE70" s="459" t="n">
        <f aca="false">AE68</f>
        <v>0</v>
      </c>
      <c r="AF70" s="459" t="n">
        <f aca="false">AF68</f>
        <v>0</v>
      </c>
      <c r="AG70" s="452"/>
      <c r="AH70" s="225"/>
    </row>
    <row r="71" customFormat="false" ht="12.75" hidden="true" customHeight="false" outlineLevel="1" collapsed="false">
      <c r="A71" s="452" t="s">
        <v>354</v>
      </c>
      <c r="B71" s="459" t="n">
        <f aca="false">B28*$B$65</f>
        <v>0</v>
      </c>
      <c r="C71" s="459" t="n">
        <f aca="false">C28*$B$65/2</f>
        <v>0</v>
      </c>
      <c r="D71" s="459" t="n">
        <f aca="false">D28*$B$65/2</f>
        <v>0</v>
      </c>
      <c r="E71" s="459" t="n">
        <f aca="false">E28*$B$65/2</f>
        <v>0</v>
      </c>
      <c r="F71" s="459" t="n">
        <f aca="false">F28*$B$65/2</f>
        <v>0</v>
      </c>
      <c r="G71" s="459" t="n">
        <f aca="false">G28*$B$65/2</f>
        <v>0</v>
      </c>
      <c r="H71" s="459" t="n">
        <f aca="false">H28*$B$65/2</f>
        <v>0</v>
      </c>
      <c r="I71" s="459" t="n">
        <f aca="false">I28*$B$65/2</f>
        <v>0</v>
      </c>
      <c r="J71" s="459" t="n">
        <f aca="false">J28*$B$65/2</f>
        <v>0</v>
      </c>
      <c r="K71" s="459" t="n">
        <f aca="false">K28*$B$65/2</f>
        <v>0</v>
      </c>
      <c r="L71" s="459" t="n">
        <f aca="false">L28*$B$65/2</f>
        <v>0</v>
      </c>
      <c r="M71" s="459" t="n">
        <f aca="false">M28*$B$65/2</f>
        <v>0</v>
      </c>
      <c r="N71" s="459" t="n">
        <f aca="false">N28*$B$65/2</f>
        <v>0</v>
      </c>
      <c r="O71" s="459" t="n">
        <f aca="false">O28*$B$65/2</f>
        <v>0</v>
      </c>
      <c r="P71" s="459" t="n">
        <f aca="false">P28*$B$65/2</f>
        <v>0</v>
      </c>
      <c r="Q71" s="459" t="n">
        <f aca="false">Q28*$B$65/2</f>
        <v>0</v>
      </c>
      <c r="R71" s="459" t="n">
        <f aca="false">R28*$B$65/2</f>
        <v>0</v>
      </c>
      <c r="S71" s="459" t="n">
        <f aca="false">S28*$B$65/2</f>
        <v>0</v>
      </c>
      <c r="T71" s="459" t="n">
        <f aca="false">T28*$B$65/2</f>
        <v>0</v>
      </c>
      <c r="U71" s="459" t="n">
        <f aca="false">U28*$B$65/2</f>
        <v>0</v>
      </c>
      <c r="V71" s="459" t="n">
        <f aca="false">V28*$B$65/2</f>
        <v>0</v>
      </c>
      <c r="W71" s="459" t="n">
        <f aca="false">W28*$B$65/2</f>
        <v>0</v>
      </c>
      <c r="X71" s="459" t="n">
        <f aca="false">X28*$B$65/2</f>
        <v>0</v>
      </c>
      <c r="Y71" s="459" t="n">
        <f aca="false">Y28*$B$65/2</f>
        <v>0</v>
      </c>
      <c r="Z71" s="459" t="n">
        <f aca="false">Z28*$B$65/2</f>
        <v>0</v>
      </c>
      <c r="AA71" s="459" t="n">
        <f aca="false">AA28*$B$65/2</f>
        <v>0</v>
      </c>
      <c r="AB71" s="459" t="n">
        <f aca="false">AB28*$B$65/2</f>
        <v>0</v>
      </c>
      <c r="AC71" s="459" t="n">
        <f aca="false">AC28*$B$65/2</f>
        <v>0</v>
      </c>
      <c r="AD71" s="459" t="n">
        <f aca="false">AD28*$B$65/2</f>
        <v>0</v>
      </c>
      <c r="AE71" s="459" t="n">
        <f aca="false">AE28*$B$65/2</f>
        <v>0</v>
      </c>
      <c r="AF71" s="459" t="n">
        <f aca="false">AF28*$B$65/2</f>
        <v>0</v>
      </c>
      <c r="AG71" s="452"/>
      <c r="AH71" s="225"/>
    </row>
    <row r="72" customFormat="false" ht="12.75" hidden="true" customHeight="false" outlineLevel="1" collapsed="false">
      <c r="A72" s="452" t="s">
        <v>355</v>
      </c>
      <c r="B72" s="459" t="n">
        <f aca="false">B70*$L$7/2</f>
        <v>0</v>
      </c>
      <c r="C72" s="459" t="n">
        <f aca="false">C70*$L$7/2</f>
        <v>0</v>
      </c>
      <c r="D72" s="459" t="n">
        <f aca="false">D70*$L$7/2</f>
        <v>0</v>
      </c>
      <c r="E72" s="459" t="n">
        <f aca="false">E70*$L$7/2</f>
        <v>0</v>
      </c>
      <c r="F72" s="459" t="n">
        <f aca="false">F70*$L$7/2</f>
        <v>0</v>
      </c>
      <c r="G72" s="459" t="n">
        <f aca="false">G70*$L$7/2</f>
        <v>0</v>
      </c>
      <c r="H72" s="459" t="n">
        <f aca="false">H70*$L$7/2</f>
        <v>0</v>
      </c>
      <c r="I72" s="459" t="n">
        <f aca="false">I70*$L$7/2</f>
        <v>0</v>
      </c>
      <c r="J72" s="459" t="n">
        <f aca="false">J70*$L$7/2</f>
        <v>0</v>
      </c>
      <c r="K72" s="459" t="n">
        <f aca="false">K70*$L$7/2</f>
        <v>0</v>
      </c>
      <c r="L72" s="459" t="n">
        <f aca="false">L70*$L$7/2</f>
        <v>0</v>
      </c>
      <c r="M72" s="459" t="n">
        <f aca="false">M70*$L$7/2</f>
        <v>0</v>
      </c>
      <c r="N72" s="459" t="n">
        <f aca="false">N70*$L$7/2</f>
        <v>0</v>
      </c>
      <c r="O72" s="459" t="n">
        <f aca="false">O70*$L$7/2</f>
        <v>0</v>
      </c>
      <c r="P72" s="459" t="n">
        <f aca="false">P70*$L$7/2</f>
        <v>0</v>
      </c>
      <c r="Q72" s="459" t="n">
        <f aca="false">Q70*$L$7/2</f>
        <v>0</v>
      </c>
      <c r="R72" s="459" t="n">
        <f aca="false">R70*$L$7/2</f>
        <v>0</v>
      </c>
      <c r="S72" s="459" t="n">
        <f aca="false">S70*$L$7/2</f>
        <v>0</v>
      </c>
      <c r="T72" s="459" t="n">
        <f aca="false">T70*$L$7/2</f>
        <v>0</v>
      </c>
      <c r="U72" s="459" t="n">
        <f aca="false">U70*$L$7/2</f>
        <v>0</v>
      </c>
      <c r="V72" s="459" t="n">
        <f aca="false">V70*$L$7/2</f>
        <v>0</v>
      </c>
      <c r="W72" s="459" t="n">
        <f aca="false">W70*$L$7/2</f>
        <v>0</v>
      </c>
      <c r="X72" s="459" t="n">
        <f aca="false">X70*$L$7/2</f>
        <v>0</v>
      </c>
      <c r="Y72" s="459" t="n">
        <f aca="false">Y70*$L$7/2</f>
        <v>0</v>
      </c>
      <c r="Z72" s="459" t="n">
        <f aca="false">Z70*$L$7/2</f>
        <v>0</v>
      </c>
      <c r="AA72" s="459" t="n">
        <f aca="false">AA70*$L$7/2</f>
        <v>0</v>
      </c>
      <c r="AB72" s="459" t="n">
        <f aca="false">AB70*$L$7/2</f>
        <v>0</v>
      </c>
      <c r="AC72" s="459" t="n">
        <f aca="false">AC70*$L$7/2</f>
        <v>0</v>
      </c>
      <c r="AD72" s="459" t="n">
        <f aca="false">AD70*$L$7/2</f>
        <v>0</v>
      </c>
      <c r="AE72" s="459" t="n">
        <f aca="false">AE70*$L$7/2</f>
        <v>0</v>
      </c>
      <c r="AF72" s="459" t="n">
        <f aca="false">AF70*$L$7/2</f>
        <v>0</v>
      </c>
      <c r="AG72" s="452"/>
      <c r="AH72" s="225"/>
    </row>
    <row r="73" customFormat="false" ht="12.75" hidden="true" customHeight="false" outlineLevel="1" collapsed="false">
      <c r="A73" s="452" t="s">
        <v>310</v>
      </c>
      <c r="B73" s="459" t="n">
        <f aca="false">B70-B71</f>
        <v>0</v>
      </c>
      <c r="C73" s="452" t="n">
        <f aca="false">C70-C71</f>
        <v>0</v>
      </c>
      <c r="D73" s="452" t="n">
        <f aca="false">D70-D71</f>
        <v>0</v>
      </c>
      <c r="E73" s="452" t="n">
        <f aca="false">E70-E71</f>
        <v>0</v>
      </c>
      <c r="F73" s="452" t="n">
        <f aca="false">F70-F71</f>
        <v>0</v>
      </c>
      <c r="G73" s="452" t="n">
        <f aca="false">G70-G71</f>
        <v>0</v>
      </c>
      <c r="H73" s="452" t="n">
        <f aca="false">H70-H71</f>
        <v>0</v>
      </c>
      <c r="I73" s="452" t="n">
        <f aca="false">I70-I71</f>
        <v>0</v>
      </c>
      <c r="J73" s="452" t="n">
        <f aca="false">J70-J71</f>
        <v>0</v>
      </c>
      <c r="K73" s="452" t="n">
        <f aca="false">K70-K71</f>
        <v>0</v>
      </c>
      <c r="L73" s="452" t="n">
        <f aca="false">L70-L71</f>
        <v>0</v>
      </c>
      <c r="M73" s="452" t="n">
        <f aca="false">M70-M71</f>
        <v>0</v>
      </c>
      <c r="N73" s="452" t="n">
        <f aca="false">N70-N71</f>
        <v>0</v>
      </c>
      <c r="O73" s="452" t="n">
        <f aca="false">O70-O71</f>
        <v>0</v>
      </c>
      <c r="P73" s="452" t="n">
        <f aca="false">P70-P71</f>
        <v>0</v>
      </c>
      <c r="Q73" s="452" t="n">
        <f aca="false">Q70-Q71</f>
        <v>0</v>
      </c>
      <c r="R73" s="452" t="n">
        <f aca="false">R70-R71</f>
        <v>0</v>
      </c>
      <c r="S73" s="452" t="n">
        <f aca="false">S70-S71</f>
        <v>0</v>
      </c>
      <c r="T73" s="452" t="n">
        <f aca="false">T70-T71</f>
        <v>0</v>
      </c>
      <c r="U73" s="452" t="n">
        <f aca="false">U70-U71</f>
        <v>0</v>
      </c>
      <c r="V73" s="452" t="n">
        <f aca="false">V70-V71</f>
        <v>0</v>
      </c>
      <c r="W73" s="452" t="n">
        <f aca="false">W70-W71</f>
        <v>0</v>
      </c>
      <c r="X73" s="452" t="n">
        <f aca="false">X70-X71</f>
        <v>0</v>
      </c>
      <c r="Y73" s="452" t="n">
        <f aca="false">Y70-Y71</f>
        <v>0</v>
      </c>
      <c r="Z73" s="452" t="n">
        <f aca="false">Z70-Z71</f>
        <v>0</v>
      </c>
      <c r="AA73" s="452" t="n">
        <f aca="false">AA70-AA71</f>
        <v>0</v>
      </c>
      <c r="AB73" s="452" t="n">
        <f aca="false">AB70-AB71</f>
        <v>0</v>
      </c>
      <c r="AC73" s="452" t="n">
        <f aca="false">AC70-AC71</f>
        <v>0</v>
      </c>
      <c r="AD73" s="452" t="n">
        <f aca="false">AD70-AD71</f>
        <v>0</v>
      </c>
      <c r="AE73" s="452" t="n">
        <f aca="false">AE70-AE71</f>
        <v>0</v>
      </c>
      <c r="AF73" s="452" t="n">
        <f aca="false">AF70-AF71</f>
        <v>0</v>
      </c>
      <c r="AG73" s="452"/>
      <c r="AH73" s="225"/>
    </row>
    <row r="74" customFormat="false" ht="12.75" hidden="true" customHeight="false" outlineLevel="1" collapsed="false">
      <c r="A74" s="452"/>
      <c r="B74" s="459"/>
      <c r="C74" s="452"/>
      <c r="D74" s="452"/>
      <c r="E74" s="452"/>
      <c r="F74" s="452"/>
      <c r="G74" s="452"/>
      <c r="H74" s="452"/>
      <c r="I74" s="452"/>
      <c r="J74" s="452"/>
      <c r="K74" s="452"/>
      <c r="L74" s="452"/>
      <c r="M74" s="452"/>
      <c r="N74" s="452"/>
      <c r="O74" s="452"/>
      <c r="P74" s="452"/>
      <c r="Q74" s="452"/>
      <c r="R74" s="452"/>
      <c r="S74" s="452"/>
      <c r="T74" s="452"/>
      <c r="U74" s="452"/>
      <c r="V74" s="452"/>
      <c r="W74" s="452"/>
      <c r="X74" s="452"/>
      <c r="Y74" s="452"/>
      <c r="Z74" s="452"/>
      <c r="AA74" s="452"/>
      <c r="AB74" s="452"/>
      <c r="AC74" s="452"/>
      <c r="AD74" s="452"/>
      <c r="AE74" s="452"/>
      <c r="AF74" s="452"/>
      <c r="AG74" s="452"/>
      <c r="AH74" s="225"/>
    </row>
    <row r="75" customFormat="false" ht="12.75" hidden="true" customHeight="false" outlineLevel="1" collapsed="false">
      <c r="A75" s="480" t="s">
        <v>356</v>
      </c>
      <c r="B75" s="459" t="n">
        <f aca="false">B72+B67</f>
        <v>0</v>
      </c>
      <c r="C75" s="459" t="n">
        <f aca="false">C72+C67</f>
        <v>0</v>
      </c>
      <c r="D75" s="459" t="n">
        <f aca="false">D72+D67</f>
        <v>0</v>
      </c>
      <c r="E75" s="459" t="n">
        <f aca="false">E72+E67</f>
        <v>0</v>
      </c>
      <c r="F75" s="459" t="n">
        <f aca="false">F72+F67</f>
        <v>0</v>
      </c>
      <c r="G75" s="459" t="n">
        <f aca="false">G72+G67</f>
        <v>0</v>
      </c>
      <c r="H75" s="459" t="n">
        <f aca="false">H72+H67</f>
        <v>0</v>
      </c>
      <c r="I75" s="459" t="n">
        <f aca="false">I72+I67</f>
        <v>0</v>
      </c>
      <c r="J75" s="459" t="n">
        <f aca="false">J72+J67</f>
        <v>0</v>
      </c>
      <c r="K75" s="459" t="n">
        <f aca="false">K72+K67</f>
        <v>0</v>
      </c>
      <c r="L75" s="459" t="n">
        <f aca="false">L72+L67</f>
        <v>0</v>
      </c>
      <c r="M75" s="459" t="n">
        <f aca="false">M72+M67</f>
        <v>0</v>
      </c>
      <c r="N75" s="459" t="n">
        <f aca="false">N72+N67</f>
        <v>0</v>
      </c>
      <c r="O75" s="459" t="n">
        <f aca="false">O72+O67</f>
        <v>0</v>
      </c>
      <c r="P75" s="459" t="n">
        <f aca="false">P72+P67</f>
        <v>0</v>
      </c>
      <c r="Q75" s="459" t="n">
        <f aca="false">Q72+Q67</f>
        <v>0</v>
      </c>
      <c r="R75" s="459" t="n">
        <f aca="false">R72+R67</f>
        <v>0</v>
      </c>
      <c r="S75" s="459" t="n">
        <f aca="false">S72+S67</f>
        <v>0</v>
      </c>
      <c r="T75" s="459" t="n">
        <f aca="false">T72+T67</f>
        <v>0</v>
      </c>
      <c r="U75" s="459" t="n">
        <f aca="false">U72+U67</f>
        <v>0</v>
      </c>
      <c r="V75" s="459" t="n">
        <f aca="false">V72+V67</f>
        <v>0</v>
      </c>
      <c r="W75" s="459" t="n">
        <f aca="false">W72+W67</f>
        <v>0</v>
      </c>
      <c r="X75" s="459" t="n">
        <f aca="false">X72+X67</f>
        <v>0</v>
      </c>
      <c r="Y75" s="459" t="n">
        <f aca="false">Y72+Y67</f>
        <v>0</v>
      </c>
      <c r="Z75" s="459" t="n">
        <f aca="false">Z72+Z67</f>
        <v>0</v>
      </c>
      <c r="AA75" s="459" t="n">
        <f aca="false">AA72+AA67</f>
        <v>0</v>
      </c>
      <c r="AB75" s="459" t="n">
        <f aca="false">AB72+AB67</f>
        <v>0</v>
      </c>
      <c r="AC75" s="459" t="n">
        <f aca="false">AC72+AC67</f>
        <v>0</v>
      </c>
      <c r="AD75" s="459" t="n">
        <f aca="false">AD72+AD67</f>
        <v>0</v>
      </c>
      <c r="AE75" s="459" t="n">
        <f aca="false">AE72+AE67</f>
        <v>0</v>
      </c>
      <c r="AF75" s="459" t="n">
        <f aca="false">AF72+AF67</f>
        <v>0</v>
      </c>
      <c r="AG75" s="452"/>
      <c r="AH75" s="225"/>
    </row>
    <row r="76" customFormat="false" ht="12.75" hidden="true" customHeight="false" outlineLevel="1" collapsed="false">
      <c r="A76" s="118" t="s">
        <v>357</v>
      </c>
      <c r="B76" s="459" t="n">
        <v>0</v>
      </c>
      <c r="C76" s="452" t="n">
        <v>0</v>
      </c>
      <c r="D76" s="452" t="n">
        <v>0</v>
      </c>
      <c r="E76" s="452" t="n">
        <v>0</v>
      </c>
      <c r="F76" s="452" t="n">
        <v>0</v>
      </c>
      <c r="G76" s="452" t="n">
        <v>0</v>
      </c>
      <c r="H76" s="452" t="n">
        <v>0</v>
      </c>
      <c r="I76" s="452" t="n">
        <v>0</v>
      </c>
      <c r="J76" s="452" t="n">
        <v>0</v>
      </c>
      <c r="K76" s="452" t="n">
        <v>0</v>
      </c>
      <c r="L76" s="452" t="n">
        <v>0</v>
      </c>
      <c r="M76" s="452" t="n">
        <v>0</v>
      </c>
      <c r="N76" s="452" t="n">
        <v>0</v>
      </c>
      <c r="O76" s="452" t="n">
        <v>0</v>
      </c>
      <c r="P76" s="452" t="n">
        <v>0</v>
      </c>
      <c r="Q76" s="452" t="n">
        <v>0</v>
      </c>
      <c r="R76" s="452" t="n">
        <v>0</v>
      </c>
      <c r="S76" s="452" t="n">
        <v>0</v>
      </c>
      <c r="T76" s="452" t="n">
        <v>0</v>
      </c>
      <c r="U76" s="452" t="n">
        <v>0</v>
      </c>
      <c r="V76" s="452" t="n">
        <v>0</v>
      </c>
      <c r="W76" s="452" t="n">
        <v>0</v>
      </c>
      <c r="X76" s="452" t="n">
        <v>0</v>
      </c>
      <c r="Y76" s="452" t="n">
        <v>0</v>
      </c>
      <c r="Z76" s="452" t="n">
        <v>0</v>
      </c>
      <c r="AA76" s="452" t="n">
        <v>0</v>
      </c>
      <c r="AB76" s="452" t="n">
        <v>0</v>
      </c>
      <c r="AC76" s="452" t="n">
        <v>0</v>
      </c>
      <c r="AD76" s="452" t="n">
        <v>0</v>
      </c>
      <c r="AE76" s="452" t="n">
        <v>0</v>
      </c>
      <c r="AF76" s="452" t="n">
        <v>0</v>
      </c>
      <c r="AG76" s="452"/>
      <c r="AH76" s="225"/>
    </row>
    <row r="77" customFormat="false" ht="12.75" hidden="true" customHeight="false" outlineLevel="1" collapsed="false">
      <c r="A77" s="480" t="s">
        <v>358</v>
      </c>
      <c r="B77" s="459" t="n">
        <f aca="false">B71+B66</f>
        <v>0</v>
      </c>
      <c r="C77" s="459" t="n">
        <f aca="false">C71+C66</f>
        <v>0</v>
      </c>
      <c r="D77" s="459" t="n">
        <f aca="false">D71+D66</f>
        <v>0</v>
      </c>
      <c r="E77" s="459" t="n">
        <f aca="false">E71+E66</f>
        <v>0</v>
      </c>
      <c r="F77" s="459" t="n">
        <f aca="false">F71+F66</f>
        <v>0</v>
      </c>
      <c r="G77" s="459" t="n">
        <f aca="false">G71+G66</f>
        <v>0</v>
      </c>
      <c r="H77" s="459" t="n">
        <f aca="false">H71+H66</f>
        <v>0</v>
      </c>
      <c r="I77" s="459" t="n">
        <f aca="false">I71+I66</f>
        <v>0</v>
      </c>
      <c r="J77" s="459" t="n">
        <f aca="false">J71+J66</f>
        <v>0</v>
      </c>
      <c r="K77" s="459" t="n">
        <f aca="false">K71+K66</f>
        <v>0</v>
      </c>
      <c r="L77" s="459" t="n">
        <f aca="false">L71+L66</f>
        <v>0</v>
      </c>
      <c r="M77" s="459" t="n">
        <f aca="false">M71+M66</f>
        <v>0</v>
      </c>
      <c r="N77" s="459" t="n">
        <f aca="false">N71+N66</f>
        <v>0</v>
      </c>
      <c r="O77" s="459" t="n">
        <f aca="false">O71+O66</f>
        <v>0</v>
      </c>
      <c r="P77" s="459" t="n">
        <f aca="false">P71+P66</f>
        <v>0</v>
      </c>
      <c r="Q77" s="459" t="n">
        <f aca="false">Q71+Q66</f>
        <v>0</v>
      </c>
      <c r="R77" s="459" t="n">
        <f aca="false">R71+R66</f>
        <v>0</v>
      </c>
      <c r="S77" s="459" t="n">
        <f aca="false">S71+S66</f>
        <v>0</v>
      </c>
      <c r="T77" s="459" t="n">
        <f aca="false">T71+T66</f>
        <v>0</v>
      </c>
      <c r="U77" s="459" t="n">
        <f aca="false">U71+U66</f>
        <v>0</v>
      </c>
      <c r="V77" s="459" t="n">
        <f aca="false">V71+V66</f>
        <v>0</v>
      </c>
      <c r="W77" s="459" t="n">
        <f aca="false">W71+W66</f>
        <v>0</v>
      </c>
      <c r="X77" s="459" t="n">
        <f aca="false">X71+X66</f>
        <v>0</v>
      </c>
      <c r="Y77" s="459" t="n">
        <f aca="false">Y71+Y66</f>
        <v>0</v>
      </c>
      <c r="Z77" s="459" t="n">
        <f aca="false">Z71+Z66</f>
        <v>0</v>
      </c>
      <c r="AA77" s="459" t="n">
        <f aca="false">AA71+AA66</f>
        <v>0</v>
      </c>
      <c r="AB77" s="459" t="n">
        <f aca="false">AB71+AB66</f>
        <v>0</v>
      </c>
      <c r="AC77" s="459" t="n">
        <f aca="false">AC71+AC66</f>
        <v>0</v>
      </c>
      <c r="AD77" s="459" t="n">
        <f aca="false">AD71+AD66</f>
        <v>0</v>
      </c>
      <c r="AE77" s="459" t="n">
        <f aca="false">AE71+AE66</f>
        <v>0</v>
      </c>
      <c r="AF77" s="459" t="n">
        <f aca="false">AF71+AF66</f>
        <v>0</v>
      </c>
      <c r="AG77" s="452"/>
      <c r="AH77" s="225"/>
    </row>
    <row r="78" customFormat="false" ht="12.75" hidden="true" customHeight="false" outlineLevel="1" collapsed="false">
      <c r="B78" s="484"/>
      <c r="C78" s="452"/>
      <c r="D78" s="452"/>
      <c r="E78" s="452"/>
      <c r="F78" s="452"/>
      <c r="G78" s="452"/>
      <c r="H78" s="452"/>
      <c r="I78" s="452"/>
      <c r="J78" s="452"/>
      <c r="K78" s="452"/>
      <c r="L78" s="452"/>
      <c r="M78" s="452"/>
      <c r="N78" s="452"/>
      <c r="O78" s="452"/>
      <c r="P78" s="452"/>
      <c r="Q78" s="452"/>
      <c r="R78" s="452"/>
      <c r="S78" s="452"/>
      <c r="T78" s="452"/>
      <c r="U78" s="452"/>
      <c r="V78" s="452"/>
      <c r="W78" s="452"/>
      <c r="X78" s="452"/>
      <c r="Y78" s="452"/>
      <c r="Z78" s="452"/>
      <c r="AA78" s="452"/>
      <c r="AB78" s="452"/>
      <c r="AC78" s="452"/>
      <c r="AD78" s="452"/>
      <c r="AE78" s="452"/>
      <c r="AF78" s="452"/>
      <c r="AG78" s="452"/>
      <c r="AH78" s="225"/>
    </row>
    <row r="79" customFormat="false" ht="12.75" hidden="true" customHeight="false" outlineLevel="1" collapsed="false">
      <c r="B79" s="459"/>
      <c r="C79" s="452"/>
      <c r="D79" s="452"/>
      <c r="E79" s="452"/>
      <c r="F79" s="452"/>
      <c r="G79" s="452"/>
      <c r="H79" s="452"/>
      <c r="I79" s="452"/>
      <c r="J79" s="452"/>
      <c r="K79" s="452"/>
      <c r="L79" s="452"/>
      <c r="M79" s="452"/>
      <c r="N79" s="452"/>
      <c r="O79" s="452"/>
      <c r="P79" s="452"/>
      <c r="Q79" s="452"/>
      <c r="R79" s="452"/>
      <c r="S79" s="452"/>
      <c r="T79" s="452"/>
      <c r="U79" s="452"/>
      <c r="V79" s="452"/>
      <c r="W79" s="452"/>
      <c r="X79" s="452"/>
      <c r="Y79" s="452"/>
      <c r="Z79" s="452"/>
      <c r="AA79" s="452"/>
      <c r="AB79" s="452"/>
      <c r="AC79" s="452"/>
      <c r="AD79" s="452"/>
      <c r="AE79" s="452"/>
      <c r="AF79" s="452"/>
      <c r="AG79" s="452"/>
      <c r="AH79" s="225"/>
    </row>
    <row r="80" customFormat="false" ht="12.75" hidden="true" customHeight="false" outlineLevel="1" collapsed="false">
      <c r="A80" s="472" t="str">
        <f aca="false">CONCATENATE("Tranche 3 @ ",R7*100,"%")</f>
        <v>Tranche 3 @ 0%</v>
      </c>
      <c r="B80" s="39"/>
      <c r="C80" s="473"/>
    </row>
    <row r="81" customFormat="false" ht="12.75" hidden="true" customHeight="false" outlineLevel="1" collapsed="false">
      <c r="A81" s="483" t="n">
        <f aca="false">A34</f>
        <v>36739</v>
      </c>
      <c r="B81" s="459"/>
    </row>
    <row r="82" customFormat="false" ht="12.75" hidden="true" customHeight="false" outlineLevel="1" collapsed="false">
      <c r="A82" s="452" t="s">
        <v>302</v>
      </c>
      <c r="B82" s="484" t="n">
        <f aca="false">R10</f>
        <v>0</v>
      </c>
      <c r="C82" s="452" t="n">
        <f aca="false">B90</f>
        <v>0</v>
      </c>
      <c r="D82" s="452" t="n">
        <f aca="false">C90</f>
        <v>0</v>
      </c>
      <c r="E82" s="452" t="n">
        <f aca="false">D90</f>
        <v>0</v>
      </c>
      <c r="F82" s="452" t="n">
        <f aca="false">E90</f>
        <v>0</v>
      </c>
      <c r="G82" s="452" t="n">
        <f aca="false">F90</f>
        <v>0</v>
      </c>
      <c r="H82" s="452" t="n">
        <f aca="false">G90</f>
        <v>0</v>
      </c>
      <c r="I82" s="452" t="n">
        <f aca="false">H90</f>
        <v>0</v>
      </c>
      <c r="J82" s="452" t="n">
        <f aca="false">I90</f>
        <v>0</v>
      </c>
      <c r="K82" s="452" t="n">
        <f aca="false">J90</f>
        <v>0</v>
      </c>
      <c r="L82" s="452" t="n">
        <f aca="false">K90</f>
        <v>0</v>
      </c>
      <c r="M82" s="452" t="n">
        <f aca="false">L90</f>
        <v>0</v>
      </c>
      <c r="N82" s="452" t="n">
        <f aca="false">M90</f>
        <v>0</v>
      </c>
      <c r="O82" s="452" t="n">
        <f aca="false">N90</f>
        <v>0</v>
      </c>
      <c r="P82" s="452" t="n">
        <f aca="false">O90</f>
        <v>0</v>
      </c>
      <c r="Q82" s="452" t="n">
        <f aca="false">P90</f>
        <v>0</v>
      </c>
      <c r="R82" s="452" t="n">
        <f aca="false">Q90</f>
        <v>0</v>
      </c>
      <c r="S82" s="452" t="n">
        <f aca="false">R90</f>
        <v>0</v>
      </c>
      <c r="T82" s="452" t="n">
        <f aca="false">S90</f>
        <v>0</v>
      </c>
      <c r="U82" s="452" t="n">
        <f aca="false">T90</f>
        <v>0</v>
      </c>
      <c r="V82" s="452" t="n">
        <f aca="false">U90</f>
        <v>0</v>
      </c>
      <c r="W82" s="452" t="n">
        <f aca="false">V90</f>
        <v>0</v>
      </c>
      <c r="X82" s="452" t="n">
        <f aca="false">W90</f>
        <v>0</v>
      </c>
      <c r="Y82" s="452" t="n">
        <f aca="false">X90</f>
        <v>0</v>
      </c>
      <c r="Z82" s="452" t="n">
        <f aca="false">Y90</f>
        <v>0</v>
      </c>
      <c r="AA82" s="452" t="n">
        <f aca="false">Z90</f>
        <v>0</v>
      </c>
      <c r="AB82" s="452" t="n">
        <f aca="false">AA90</f>
        <v>0</v>
      </c>
      <c r="AC82" s="452" t="n">
        <f aca="false">AB90</f>
        <v>0</v>
      </c>
      <c r="AD82" s="452" t="n">
        <f aca="false">AC90</f>
        <v>0</v>
      </c>
      <c r="AE82" s="452" t="n">
        <f aca="false">AD90</f>
        <v>0</v>
      </c>
      <c r="AF82" s="452" t="n">
        <f aca="false">AE90</f>
        <v>0</v>
      </c>
      <c r="AG82" s="452"/>
      <c r="AH82" s="225"/>
    </row>
    <row r="83" customFormat="false" ht="12.75" hidden="true" customHeight="false" outlineLevel="1" collapsed="false">
      <c r="A83" s="452" t="s">
        <v>354</v>
      </c>
      <c r="B83" s="459" t="n">
        <v>0</v>
      </c>
      <c r="C83" s="452" t="n">
        <f aca="false">$B$82*C30/2</f>
        <v>0</v>
      </c>
      <c r="D83" s="452" t="n">
        <f aca="false">$B$82*D30/2</f>
        <v>0</v>
      </c>
      <c r="E83" s="452" t="n">
        <f aca="false">$B$82*E30/2</f>
        <v>0</v>
      </c>
      <c r="F83" s="452" t="n">
        <f aca="false">$B$82*F30/2</f>
        <v>0</v>
      </c>
      <c r="G83" s="452" t="n">
        <f aca="false">$B$82*G30/2</f>
        <v>0</v>
      </c>
      <c r="H83" s="452" t="n">
        <f aca="false">$B$82*H30/2</f>
        <v>0</v>
      </c>
      <c r="I83" s="452" t="n">
        <f aca="false">$B$82*I30/2</f>
        <v>0</v>
      </c>
      <c r="J83" s="452" t="n">
        <f aca="false">$B$82*J30/2</f>
        <v>0</v>
      </c>
      <c r="K83" s="452" t="n">
        <f aca="false">$B$82*K30/2</f>
        <v>0</v>
      </c>
      <c r="L83" s="452" t="n">
        <f aca="false">$B$82*L30/2</f>
        <v>0</v>
      </c>
      <c r="M83" s="452" t="n">
        <f aca="false">$B$82*M30/2</f>
        <v>0</v>
      </c>
      <c r="N83" s="452" t="n">
        <f aca="false">$B$82*N30/2</f>
        <v>0</v>
      </c>
      <c r="O83" s="452" t="n">
        <f aca="false">$B$82*O30/2</f>
        <v>0</v>
      </c>
      <c r="P83" s="452" t="n">
        <f aca="false">$B$82*P30/2</f>
        <v>0</v>
      </c>
      <c r="Q83" s="452" t="n">
        <f aca="false">$B$82*Q30/2</f>
        <v>0</v>
      </c>
      <c r="R83" s="452" t="n">
        <f aca="false">$B$82*R30/2</f>
        <v>0</v>
      </c>
      <c r="S83" s="452" t="n">
        <f aca="false">$B$82*S30/2</f>
        <v>0</v>
      </c>
      <c r="T83" s="452" t="n">
        <f aca="false">$B$82*T30/2</f>
        <v>0</v>
      </c>
      <c r="U83" s="452" t="n">
        <f aca="false">$B$82*U30/2</f>
        <v>0</v>
      </c>
      <c r="V83" s="452" t="n">
        <f aca="false">$B$82*V30/2</f>
        <v>0</v>
      </c>
      <c r="W83" s="452" t="n">
        <f aca="false">$B$82*W30/2</f>
        <v>0</v>
      </c>
      <c r="X83" s="452" t="n">
        <f aca="false">$B$82*X30/2</f>
        <v>0</v>
      </c>
      <c r="Y83" s="452" t="n">
        <f aca="false">$B$82*Y30/2</f>
        <v>0</v>
      </c>
      <c r="Z83" s="452" t="n">
        <f aca="false">$B$82*Z30/2</f>
        <v>0</v>
      </c>
      <c r="AA83" s="452" t="n">
        <f aca="false">$B$82*AA30/2</f>
        <v>0</v>
      </c>
      <c r="AB83" s="452" t="n">
        <f aca="false">$B$82*AB30/2</f>
        <v>0</v>
      </c>
      <c r="AC83" s="452" t="n">
        <f aca="false">$B$82*AC30/2</f>
        <v>0</v>
      </c>
      <c r="AD83" s="452" t="n">
        <f aca="false">$B$82*AD30/2</f>
        <v>0</v>
      </c>
      <c r="AE83" s="452" t="n">
        <f aca="false">$B$82*AE30/2</f>
        <v>0</v>
      </c>
      <c r="AF83" s="452" t="n">
        <f aca="false">$B$82*AF30/2</f>
        <v>0</v>
      </c>
      <c r="AG83" s="476"/>
      <c r="AH83" s="225"/>
    </row>
    <row r="84" customFormat="false" ht="12.75" hidden="true" customHeight="false" outlineLevel="1" collapsed="false">
      <c r="A84" s="452" t="s">
        <v>355</v>
      </c>
      <c r="B84" s="459" t="n">
        <v>0</v>
      </c>
      <c r="C84" s="452" t="n">
        <f aca="false">C82*$R$7/2</f>
        <v>0</v>
      </c>
      <c r="D84" s="452" t="n">
        <f aca="false">D82*$R$7/2</f>
        <v>0</v>
      </c>
      <c r="E84" s="452" t="n">
        <f aca="false">E82*$R$7/2</f>
        <v>0</v>
      </c>
      <c r="F84" s="452" t="n">
        <f aca="false">F82*$R$7/2</f>
        <v>0</v>
      </c>
      <c r="G84" s="452" t="n">
        <f aca="false">G82*$R$7/2</f>
        <v>0</v>
      </c>
      <c r="H84" s="452" t="n">
        <f aca="false">H82*$R$7/2</f>
        <v>0</v>
      </c>
      <c r="I84" s="452" t="n">
        <f aca="false">I82*$R$7/2</f>
        <v>0</v>
      </c>
      <c r="J84" s="452" t="n">
        <f aca="false">J82*$R$7/2</f>
        <v>0</v>
      </c>
      <c r="K84" s="452" t="n">
        <f aca="false">K82*$R$7/2</f>
        <v>0</v>
      </c>
      <c r="L84" s="452" t="n">
        <f aca="false">L82*$R$7/2</f>
        <v>0</v>
      </c>
      <c r="M84" s="452" t="n">
        <f aca="false">M82*$R$7/2</f>
        <v>0</v>
      </c>
      <c r="N84" s="452" t="n">
        <f aca="false">N82*$R$7/2</f>
        <v>0</v>
      </c>
      <c r="O84" s="452" t="n">
        <f aca="false">O82*$R$7/2</f>
        <v>0</v>
      </c>
      <c r="P84" s="452" t="n">
        <f aca="false">P82*$R$7/2</f>
        <v>0</v>
      </c>
      <c r="Q84" s="452" t="n">
        <f aca="false">Q82*$R$7/2</f>
        <v>0</v>
      </c>
      <c r="R84" s="452" t="n">
        <f aca="false">R82*$R$7/2</f>
        <v>0</v>
      </c>
      <c r="S84" s="452" t="n">
        <f aca="false">S82*$R$7/2</f>
        <v>0</v>
      </c>
      <c r="T84" s="452" t="n">
        <f aca="false">T82*$R$7/2</f>
        <v>0</v>
      </c>
      <c r="U84" s="452" t="n">
        <f aca="false">U82*$R$7/2</f>
        <v>0</v>
      </c>
      <c r="V84" s="452" t="n">
        <f aca="false">V82*$R$7/2</f>
        <v>0</v>
      </c>
      <c r="W84" s="452" t="n">
        <f aca="false">W82*$R$7/2</f>
        <v>0</v>
      </c>
      <c r="X84" s="452" t="n">
        <f aca="false">X82*$R$7/2</f>
        <v>0</v>
      </c>
      <c r="Y84" s="452" t="n">
        <f aca="false">Y82*$R$7/2</f>
        <v>0</v>
      </c>
      <c r="Z84" s="452" t="n">
        <f aca="false">Z82*$R$7/2</f>
        <v>0</v>
      </c>
      <c r="AA84" s="452" t="n">
        <f aca="false">AA82*$R$7/2</f>
        <v>0</v>
      </c>
      <c r="AB84" s="452" t="n">
        <f aca="false">AB82*$R$7/2</f>
        <v>0</v>
      </c>
      <c r="AC84" s="452" t="n">
        <f aca="false">AC82*$R$7/2</f>
        <v>0</v>
      </c>
      <c r="AD84" s="452" t="n">
        <f aca="false">AD82*$R$7/2</f>
        <v>0</v>
      </c>
      <c r="AE84" s="452" t="n">
        <f aca="false">AE82*$R$7/2</f>
        <v>0</v>
      </c>
      <c r="AF84" s="452" t="n">
        <f aca="false">AF82*$R$7/2</f>
        <v>0</v>
      </c>
      <c r="AG84" s="476"/>
      <c r="AH84" s="225"/>
    </row>
    <row r="85" customFormat="false" ht="12.75" hidden="true" customHeight="false" outlineLevel="1" collapsed="false">
      <c r="A85" s="452" t="s">
        <v>310</v>
      </c>
      <c r="B85" s="459" t="n">
        <f aca="false">B82-B83</f>
        <v>0</v>
      </c>
      <c r="C85" s="452" t="n">
        <f aca="false">C82-C83</f>
        <v>0</v>
      </c>
      <c r="D85" s="452" t="n">
        <f aca="false">D82-D83</f>
        <v>0</v>
      </c>
      <c r="E85" s="452" t="n">
        <f aca="false">E82-E83</f>
        <v>0</v>
      </c>
      <c r="F85" s="452" t="n">
        <f aca="false">F82-F83</f>
        <v>0</v>
      </c>
      <c r="G85" s="452" t="n">
        <f aca="false">G82-G83</f>
        <v>0</v>
      </c>
      <c r="H85" s="452" t="n">
        <f aca="false">H82-H83</f>
        <v>0</v>
      </c>
      <c r="I85" s="452" t="n">
        <f aca="false">I82-I83</f>
        <v>0</v>
      </c>
      <c r="J85" s="452" t="n">
        <f aca="false">J82-J83</f>
        <v>0</v>
      </c>
      <c r="K85" s="452" t="n">
        <f aca="false">K82-K83</f>
        <v>0</v>
      </c>
      <c r="L85" s="452" t="n">
        <f aca="false">L82-L83</f>
        <v>0</v>
      </c>
      <c r="M85" s="476" t="n">
        <f aca="false">M82-M83</f>
        <v>0</v>
      </c>
      <c r="N85" s="476" t="n">
        <f aca="false">N82-N83</f>
        <v>0</v>
      </c>
      <c r="O85" s="476" t="n">
        <f aca="false">O82-O83</f>
        <v>0</v>
      </c>
      <c r="P85" s="476" t="n">
        <f aca="false">P82-P83</f>
        <v>0</v>
      </c>
      <c r="Q85" s="476" t="n">
        <f aca="false">Q82-Q83</f>
        <v>0</v>
      </c>
      <c r="R85" s="476" t="n">
        <f aca="false">R82-R83</f>
        <v>0</v>
      </c>
      <c r="S85" s="476" t="n">
        <f aca="false">S82-S83</f>
        <v>0</v>
      </c>
      <c r="T85" s="476" t="n">
        <f aca="false">T82-T83</f>
        <v>0</v>
      </c>
      <c r="U85" s="476" t="n">
        <f aca="false">U82-U83</f>
        <v>0</v>
      </c>
      <c r="V85" s="476" t="n">
        <f aca="false">V82-V83</f>
        <v>0</v>
      </c>
      <c r="W85" s="476" t="n">
        <f aca="false">W82-W83</f>
        <v>0</v>
      </c>
      <c r="X85" s="476" t="n">
        <f aca="false">X82-X83</f>
        <v>0</v>
      </c>
      <c r="Y85" s="476" t="n">
        <f aca="false">Y82-Y83</f>
        <v>0</v>
      </c>
      <c r="Z85" s="476" t="n">
        <f aca="false">Z82-Z83</f>
        <v>0</v>
      </c>
      <c r="AA85" s="476" t="n">
        <f aca="false">AA82-AA83</f>
        <v>0</v>
      </c>
      <c r="AB85" s="476" t="n">
        <f aca="false">AB82-AB83</f>
        <v>0</v>
      </c>
      <c r="AC85" s="476" t="n">
        <f aca="false">AC82-AC83</f>
        <v>0</v>
      </c>
      <c r="AD85" s="476" t="n">
        <f aca="false">AD82-AD83</f>
        <v>0</v>
      </c>
      <c r="AE85" s="476" t="n">
        <f aca="false">AE82-AE83</f>
        <v>0</v>
      </c>
      <c r="AF85" s="476" t="n">
        <f aca="false">AF82-AF83</f>
        <v>0</v>
      </c>
      <c r="AG85" s="476"/>
      <c r="AH85" s="225"/>
    </row>
    <row r="86" customFormat="false" ht="12.75" hidden="true" customHeight="false" outlineLevel="1" collapsed="false">
      <c r="A86" s="483" t="n">
        <f aca="false">A39</f>
        <v>36557</v>
      </c>
      <c r="B86" s="459"/>
      <c r="C86" s="452"/>
      <c r="D86" s="452"/>
      <c r="E86" s="452"/>
      <c r="F86" s="452"/>
      <c r="G86" s="452"/>
      <c r="H86" s="452"/>
      <c r="I86" s="452"/>
      <c r="J86" s="452"/>
      <c r="K86" s="452"/>
      <c r="L86" s="452"/>
      <c r="M86" s="452"/>
      <c r="N86" s="452"/>
      <c r="O86" s="452"/>
      <c r="P86" s="452"/>
      <c r="Q86" s="452"/>
      <c r="R86" s="452"/>
      <c r="S86" s="452"/>
      <c r="T86" s="476"/>
      <c r="U86" s="476"/>
      <c r="V86" s="476"/>
      <c r="W86" s="476"/>
      <c r="X86" s="476"/>
      <c r="Y86" s="476"/>
      <c r="Z86" s="476"/>
      <c r="AA86" s="476"/>
      <c r="AB86" s="476"/>
      <c r="AC86" s="476"/>
      <c r="AD86" s="476"/>
      <c r="AE86" s="476"/>
      <c r="AF86" s="476"/>
      <c r="AG86" s="452"/>
      <c r="AH86" s="225"/>
    </row>
    <row r="87" customFormat="false" ht="12.75" hidden="true" customHeight="false" outlineLevel="1" collapsed="false">
      <c r="A87" s="452" t="s">
        <v>302</v>
      </c>
      <c r="B87" s="459" t="n">
        <f aca="false">B85</f>
        <v>0</v>
      </c>
      <c r="C87" s="452" t="n">
        <f aca="false">C85</f>
        <v>0</v>
      </c>
      <c r="D87" s="452" t="n">
        <f aca="false">D85</f>
        <v>0</v>
      </c>
      <c r="E87" s="452" t="n">
        <f aca="false">E85</f>
        <v>0</v>
      </c>
      <c r="F87" s="452" t="n">
        <f aca="false">F85</f>
        <v>0</v>
      </c>
      <c r="G87" s="452" t="n">
        <f aca="false">G85</f>
        <v>0</v>
      </c>
      <c r="H87" s="452" t="n">
        <f aca="false">H85</f>
        <v>0</v>
      </c>
      <c r="I87" s="452" t="n">
        <f aca="false">I85</f>
        <v>0</v>
      </c>
      <c r="J87" s="452" t="n">
        <f aca="false">J85</f>
        <v>0</v>
      </c>
      <c r="K87" s="452" t="n">
        <f aca="false">K85</f>
        <v>0</v>
      </c>
      <c r="L87" s="452" t="n">
        <f aca="false">L85</f>
        <v>0</v>
      </c>
      <c r="M87" s="452" t="n">
        <f aca="false">M85</f>
        <v>0</v>
      </c>
      <c r="N87" s="452" t="n">
        <f aca="false">N85</f>
        <v>0</v>
      </c>
      <c r="O87" s="452" t="n">
        <f aca="false">O85</f>
        <v>0</v>
      </c>
      <c r="P87" s="452" t="n">
        <f aca="false">P85</f>
        <v>0</v>
      </c>
      <c r="Q87" s="452" t="n">
        <f aca="false">Q85</f>
        <v>0</v>
      </c>
      <c r="R87" s="452" t="n">
        <f aca="false">R85</f>
        <v>0</v>
      </c>
      <c r="S87" s="452" t="n">
        <f aca="false">S85</f>
        <v>0</v>
      </c>
      <c r="T87" s="452" t="n">
        <f aca="false">T85</f>
        <v>0</v>
      </c>
      <c r="U87" s="452" t="n">
        <f aca="false">U85</f>
        <v>0</v>
      </c>
      <c r="V87" s="452" t="n">
        <f aca="false">V85</f>
        <v>0</v>
      </c>
      <c r="W87" s="452" t="n">
        <f aca="false">W85</f>
        <v>0</v>
      </c>
      <c r="X87" s="452" t="n">
        <f aca="false">X85</f>
        <v>0</v>
      </c>
      <c r="Y87" s="452" t="n">
        <f aca="false">Y85</f>
        <v>0</v>
      </c>
      <c r="Z87" s="452" t="n">
        <f aca="false">Z85</f>
        <v>0</v>
      </c>
      <c r="AA87" s="452" t="n">
        <f aca="false">AA85</f>
        <v>0</v>
      </c>
      <c r="AB87" s="452" t="n">
        <f aca="false">AB85</f>
        <v>0</v>
      </c>
      <c r="AC87" s="452" t="n">
        <f aca="false">AC85</f>
        <v>0</v>
      </c>
      <c r="AD87" s="452" t="n">
        <f aca="false">AD85</f>
        <v>0</v>
      </c>
      <c r="AE87" s="452" t="n">
        <f aca="false">AE85</f>
        <v>0</v>
      </c>
      <c r="AF87" s="452" t="n">
        <f aca="false">AF85</f>
        <v>0</v>
      </c>
      <c r="AG87" s="452"/>
      <c r="AH87" s="225"/>
    </row>
    <row r="88" customFormat="false" ht="12.75" hidden="true" customHeight="false" outlineLevel="1" collapsed="false">
      <c r="A88" s="452" t="s">
        <v>354</v>
      </c>
      <c r="B88" s="459" t="n">
        <f aca="false">B82*B30</f>
        <v>0</v>
      </c>
      <c r="C88" s="452" t="n">
        <f aca="false">$B$82*C30/2</f>
        <v>0</v>
      </c>
      <c r="D88" s="452" t="n">
        <f aca="false">$B$82*D30/2</f>
        <v>0</v>
      </c>
      <c r="E88" s="452" t="n">
        <f aca="false">$B$82*E30/2</f>
        <v>0</v>
      </c>
      <c r="F88" s="452" t="n">
        <f aca="false">$B$82*F30/2</f>
        <v>0</v>
      </c>
      <c r="G88" s="452" t="n">
        <f aca="false">$B$82*G30/2</f>
        <v>0</v>
      </c>
      <c r="H88" s="452" t="n">
        <f aca="false">$B$82*H30/2</f>
        <v>0</v>
      </c>
      <c r="I88" s="452" t="n">
        <f aca="false">$B$82*I30/2</f>
        <v>0</v>
      </c>
      <c r="J88" s="452" t="n">
        <f aca="false">$B$82*J30/2</f>
        <v>0</v>
      </c>
      <c r="K88" s="452" t="n">
        <f aca="false">$B$82*K30/2</f>
        <v>0</v>
      </c>
      <c r="L88" s="452" t="n">
        <f aca="false">$B$82*L30/2</f>
        <v>0</v>
      </c>
      <c r="M88" s="452" t="n">
        <f aca="false">$B$82*M30/2</f>
        <v>0</v>
      </c>
      <c r="N88" s="452" t="n">
        <f aca="false">$B$82*N30/2</f>
        <v>0</v>
      </c>
      <c r="O88" s="452" t="n">
        <f aca="false">$B$82*O30/2</f>
        <v>0</v>
      </c>
      <c r="P88" s="452" t="n">
        <f aca="false">$B$82*P30/2</f>
        <v>0</v>
      </c>
      <c r="Q88" s="452" t="n">
        <f aca="false">$B$82*Q30/2</f>
        <v>0</v>
      </c>
      <c r="R88" s="452" t="n">
        <f aca="false">$B$82*R30/2</f>
        <v>0</v>
      </c>
      <c r="S88" s="452" t="n">
        <f aca="false">$B$82*S30/2</f>
        <v>0</v>
      </c>
      <c r="T88" s="452" t="n">
        <f aca="false">$B$82*T30/2</f>
        <v>0</v>
      </c>
      <c r="U88" s="452" t="n">
        <f aca="false">$B$82*U30/2</f>
        <v>0</v>
      </c>
      <c r="V88" s="452" t="n">
        <f aca="false">$B$82*V30/2</f>
        <v>0</v>
      </c>
      <c r="W88" s="452" t="n">
        <f aca="false">$B$82*W30/2</f>
        <v>0</v>
      </c>
      <c r="X88" s="452" t="n">
        <f aca="false">$B$82*X30/2</f>
        <v>0</v>
      </c>
      <c r="Y88" s="452" t="n">
        <f aca="false">$B$82*Y30/2</f>
        <v>0</v>
      </c>
      <c r="Z88" s="452" t="n">
        <f aca="false">$B$82*Z30/2</f>
        <v>0</v>
      </c>
      <c r="AA88" s="452" t="n">
        <f aca="false">$B$82*AA30/2</f>
        <v>0</v>
      </c>
      <c r="AB88" s="452" t="n">
        <f aca="false">$B$82*AB30/2</f>
        <v>0</v>
      </c>
      <c r="AC88" s="452" t="n">
        <f aca="false">$B$82*AC30/2</f>
        <v>0</v>
      </c>
      <c r="AD88" s="452" t="n">
        <f aca="false">$B$82*AD30/2</f>
        <v>0</v>
      </c>
      <c r="AE88" s="452" t="n">
        <f aca="false">$B$82*AE30/2</f>
        <v>0</v>
      </c>
      <c r="AF88" s="452" t="n">
        <f aca="false">$B$82*AF30/2</f>
        <v>0</v>
      </c>
      <c r="AG88" s="452"/>
      <c r="AH88" s="225"/>
    </row>
    <row r="89" customFormat="false" ht="12.75" hidden="true" customHeight="false" outlineLevel="1" collapsed="false">
      <c r="A89" s="452" t="s">
        <v>355</v>
      </c>
      <c r="B89" s="459" t="n">
        <f aca="false">B87*$R$7/2</f>
        <v>0</v>
      </c>
      <c r="C89" s="459" t="n">
        <f aca="false">C87*$R$7/2</f>
        <v>0</v>
      </c>
      <c r="D89" s="459" t="n">
        <f aca="false">D87*$R$7/2</f>
        <v>0</v>
      </c>
      <c r="E89" s="459" t="n">
        <f aca="false">E87*$R$7/2</f>
        <v>0</v>
      </c>
      <c r="F89" s="459" t="n">
        <f aca="false">F87*$R$7/2</f>
        <v>0</v>
      </c>
      <c r="G89" s="459" t="n">
        <f aca="false">G87*$R$7/2</f>
        <v>0</v>
      </c>
      <c r="H89" s="459" t="n">
        <f aca="false">H87*$R$7/2</f>
        <v>0</v>
      </c>
      <c r="I89" s="459" t="n">
        <f aca="false">I87*$R$7/2</f>
        <v>0</v>
      </c>
      <c r="J89" s="459" t="n">
        <f aca="false">J87*$R$7/2</f>
        <v>0</v>
      </c>
      <c r="K89" s="459" t="n">
        <f aca="false">K87*$R$7/2</f>
        <v>0</v>
      </c>
      <c r="L89" s="459" t="n">
        <f aca="false">L87*$R$7/2</f>
        <v>0</v>
      </c>
      <c r="M89" s="459" t="n">
        <f aca="false">M87*$R$7/2</f>
        <v>0</v>
      </c>
      <c r="N89" s="459" t="n">
        <f aca="false">N87*$R$7/2</f>
        <v>0</v>
      </c>
      <c r="O89" s="459" t="n">
        <f aca="false">O87*$R$7/2</f>
        <v>0</v>
      </c>
      <c r="P89" s="459" t="n">
        <f aca="false">P87*$R$7/2</f>
        <v>0</v>
      </c>
      <c r="Q89" s="459" t="n">
        <f aca="false">Q87*$R$7/2</f>
        <v>0</v>
      </c>
      <c r="R89" s="459" t="n">
        <f aca="false">R87*$R$7/2</f>
        <v>0</v>
      </c>
      <c r="S89" s="459" t="n">
        <f aca="false">S87*$R$7/2</f>
        <v>0</v>
      </c>
      <c r="T89" s="459" t="n">
        <f aca="false">T87*$R$7/2</f>
        <v>0</v>
      </c>
      <c r="U89" s="459" t="n">
        <f aca="false">U87*$R$7/2</f>
        <v>0</v>
      </c>
      <c r="V89" s="459" t="n">
        <f aca="false">V87*$R$7/2</f>
        <v>0</v>
      </c>
      <c r="W89" s="459" t="n">
        <f aca="false">W87*$R$7/2</f>
        <v>0</v>
      </c>
      <c r="X89" s="459" t="n">
        <f aca="false">X87*$R$7/2</f>
        <v>0</v>
      </c>
      <c r="Y89" s="459" t="n">
        <f aca="false">Y87*$R$7/2</f>
        <v>0</v>
      </c>
      <c r="Z89" s="459" t="n">
        <f aca="false">Z87*$R$7/2</f>
        <v>0</v>
      </c>
      <c r="AA89" s="459" t="n">
        <f aca="false">AA87*$R$7/2</f>
        <v>0</v>
      </c>
      <c r="AB89" s="459" t="n">
        <f aca="false">AB87*$R$7/2</f>
        <v>0</v>
      </c>
      <c r="AC89" s="459" t="n">
        <f aca="false">AC87*$R$7/2</f>
        <v>0</v>
      </c>
      <c r="AD89" s="459" t="n">
        <f aca="false">AD87*$R$7/2</f>
        <v>0</v>
      </c>
      <c r="AE89" s="459" t="n">
        <f aca="false">AE87*$R$7/2</f>
        <v>0</v>
      </c>
      <c r="AF89" s="459" t="n">
        <f aca="false">AF87*$R$7/2</f>
        <v>0</v>
      </c>
      <c r="AG89" s="452"/>
      <c r="AH89" s="225"/>
    </row>
    <row r="90" customFormat="false" ht="12.75" hidden="true" customHeight="false" outlineLevel="1" collapsed="false">
      <c r="A90" s="452" t="s">
        <v>310</v>
      </c>
      <c r="B90" s="452" t="n">
        <f aca="false">B87-B88</f>
        <v>0</v>
      </c>
      <c r="C90" s="452" t="n">
        <f aca="false">C87-C88</f>
        <v>0</v>
      </c>
      <c r="D90" s="452" t="n">
        <f aca="false">D87-D88</f>
        <v>0</v>
      </c>
      <c r="E90" s="452" t="n">
        <f aca="false">E87-E88</f>
        <v>0</v>
      </c>
      <c r="F90" s="452" t="n">
        <f aca="false">F87-F88</f>
        <v>0</v>
      </c>
      <c r="G90" s="452" t="n">
        <f aca="false">G87-G88</f>
        <v>0</v>
      </c>
      <c r="H90" s="452" t="n">
        <f aca="false">H87-H88</f>
        <v>0</v>
      </c>
      <c r="I90" s="452" t="n">
        <f aca="false">I87-I88</f>
        <v>0</v>
      </c>
      <c r="J90" s="452" t="n">
        <f aca="false">J87-J88</f>
        <v>0</v>
      </c>
      <c r="K90" s="452" t="n">
        <f aca="false">K87-K88</f>
        <v>0</v>
      </c>
      <c r="L90" s="452" t="n">
        <f aca="false">L87-L88</f>
        <v>0</v>
      </c>
      <c r="M90" s="452" t="n">
        <f aca="false">M87-M88</f>
        <v>0</v>
      </c>
      <c r="N90" s="452" t="n">
        <f aca="false">N87-N88</f>
        <v>0</v>
      </c>
      <c r="O90" s="452" t="n">
        <f aca="false">O87-O88</f>
        <v>0</v>
      </c>
      <c r="P90" s="452" t="n">
        <f aca="false">P87-P88</f>
        <v>0</v>
      </c>
      <c r="Q90" s="452" t="n">
        <f aca="false">Q87-Q88</f>
        <v>0</v>
      </c>
      <c r="R90" s="452" t="n">
        <f aca="false">R87-R88</f>
        <v>0</v>
      </c>
      <c r="S90" s="452" t="n">
        <f aca="false">S87-S88</f>
        <v>0</v>
      </c>
      <c r="T90" s="476" t="n">
        <f aca="false">T87-T88</f>
        <v>0</v>
      </c>
      <c r="U90" s="476" t="n">
        <f aca="false">U87-U88</f>
        <v>0</v>
      </c>
      <c r="V90" s="476" t="n">
        <f aca="false">V87-V88</f>
        <v>0</v>
      </c>
      <c r="W90" s="476" t="n">
        <f aca="false">W87-W88</f>
        <v>0</v>
      </c>
      <c r="X90" s="476" t="n">
        <f aca="false">X87-X88</f>
        <v>0</v>
      </c>
      <c r="Y90" s="476" t="n">
        <f aca="false">Y87-Y88</f>
        <v>0</v>
      </c>
      <c r="Z90" s="476" t="n">
        <f aca="false">Z87-Z88</f>
        <v>0</v>
      </c>
      <c r="AA90" s="476" t="n">
        <f aca="false">AA87-AA88</f>
        <v>0</v>
      </c>
      <c r="AB90" s="476" t="n">
        <f aca="false">AB87-AB88</f>
        <v>0</v>
      </c>
      <c r="AC90" s="476" t="n">
        <f aca="false">AC87-AC88</f>
        <v>0</v>
      </c>
      <c r="AD90" s="476" t="n">
        <f aca="false">AD87-AD88</f>
        <v>0</v>
      </c>
      <c r="AE90" s="476" t="n">
        <f aca="false">AE87-AE88</f>
        <v>0</v>
      </c>
      <c r="AF90" s="476" t="n">
        <f aca="false">AF87-AF88</f>
        <v>0</v>
      </c>
      <c r="AG90" s="452"/>
      <c r="AH90" s="225"/>
    </row>
    <row r="91" customFormat="false" ht="12.75" hidden="true" customHeight="false" outlineLevel="1" collapsed="false">
      <c r="A91" s="452"/>
      <c r="B91" s="452"/>
      <c r="C91" s="452"/>
      <c r="D91" s="452"/>
      <c r="E91" s="452"/>
      <c r="F91" s="452"/>
      <c r="G91" s="452"/>
      <c r="H91" s="452"/>
      <c r="I91" s="452"/>
      <c r="J91" s="452"/>
      <c r="K91" s="452"/>
      <c r="L91" s="452"/>
      <c r="M91" s="452"/>
      <c r="N91" s="452"/>
      <c r="O91" s="452"/>
      <c r="P91" s="452"/>
      <c r="Q91" s="452"/>
      <c r="R91" s="452"/>
      <c r="S91" s="452"/>
      <c r="T91" s="476"/>
      <c r="U91" s="476"/>
      <c r="V91" s="476"/>
      <c r="W91" s="476"/>
      <c r="X91" s="476"/>
      <c r="Y91" s="476"/>
      <c r="Z91" s="476"/>
      <c r="AA91" s="476"/>
      <c r="AB91" s="476"/>
      <c r="AC91" s="476"/>
      <c r="AD91" s="476"/>
      <c r="AE91" s="476"/>
      <c r="AF91" s="476"/>
      <c r="AG91" s="452"/>
      <c r="AH91" s="225"/>
    </row>
    <row r="92" customFormat="false" ht="12.75" hidden="true" customHeight="false" outlineLevel="1" collapsed="false">
      <c r="A92" s="480" t="s">
        <v>356</v>
      </c>
      <c r="B92" s="452" t="n">
        <f aca="false">B89+B84</f>
        <v>0</v>
      </c>
      <c r="C92" s="452" t="n">
        <f aca="false">C89+C84</f>
        <v>0</v>
      </c>
      <c r="D92" s="452" t="n">
        <f aca="false">D89+D84</f>
        <v>0</v>
      </c>
      <c r="E92" s="452" t="n">
        <f aca="false">E89+E84</f>
        <v>0</v>
      </c>
      <c r="F92" s="452" t="n">
        <f aca="false">F89+F84</f>
        <v>0</v>
      </c>
      <c r="G92" s="452" t="n">
        <f aca="false">G89+G84</f>
        <v>0</v>
      </c>
      <c r="H92" s="452" t="n">
        <f aca="false">H89+H84</f>
        <v>0</v>
      </c>
      <c r="I92" s="452" t="n">
        <f aca="false">I89+I84</f>
        <v>0</v>
      </c>
      <c r="J92" s="452" t="n">
        <f aca="false">J89+J84</f>
        <v>0</v>
      </c>
      <c r="K92" s="452" t="n">
        <f aca="false">K89+K84</f>
        <v>0</v>
      </c>
      <c r="L92" s="452" t="n">
        <f aca="false">L89+L84</f>
        <v>0</v>
      </c>
      <c r="M92" s="452" t="n">
        <f aca="false">M89+M84</f>
        <v>0</v>
      </c>
      <c r="N92" s="452" t="n">
        <f aca="false">N89+N84</f>
        <v>0</v>
      </c>
      <c r="O92" s="452" t="n">
        <f aca="false">O89+O84</f>
        <v>0</v>
      </c>
      <c r="P92" s="452" t="n">
        <f aca="false">P89+P84</f>
        <v>0</v>
      </c>
      <c r="Q92" s="452" t="n">
        <f aca="false">Q89+Q84</f>
        <v>0</v>
      </c>
      <c r="R92" s="452" t="n">
        <f aca="false">R89+R84</f>
        <v>0</v>
      </c>
      <c r="S92" s="452" t="n">
        <f aca="false">S89+S84</f>
        <v>0</v>
      </c>
      <c r="T92" s="452" t="n">
        <f aca="false">T89+T84</f>
        <v>0</v>
      </c>
      <c r="U92" s="452" t="n">
        <f aca="false">U89+U84</f>
        <v>0</v>
      </c>
      <c r="V92" s="452" t="n">
        <f aca="false">V89+V84</f>
        <v>0</v>
      </c>
      <c r="W92" s="452" t="n">
        <f aca="false">W89+W84</f>
        <v>0</v>
      </c>
      <c r="X92" s="452" t="n">
        <f aca="false">X89+X84</f>
        <v>0</v>
      </c>
      <c r="Y92" s="452" t="n">
        <f aca="false">Y89+Y84</f>
        <v>0</v>
      </c>
      <c r="Z92" s="452" t="n">
        <f aca="false">Z89+Z84</f>
        <v>0</v>
      </c>
      <c r="AA92" s="452" t="n">
        <f aca="false">AA89+AA84</f>
        <v>0</v>
      </c>
      <c r="AB92" s="452" t="n">
        <f aca="false">AB89+AB84</f>
        <v>0</v>
      </c>
      <c r="AC92" s="452" t="n">
        <f aca="false">AC89+AC84</f>
        <v>0</v>
      </c>
      <c r="AD92" s="452" t="n">
        <f aca="false">AD89+AD84</f>
        <v>0</v>
      </c>
      <c r="AE92" s="452" t="n">
        <f aca="false">AE89+AE84</f>
        <v>0</v>
      </c>
      <c r="AF92" s="452" t="n">
        <f aca="false">AF89+AF84</f>
        <v>0</v>
      </c>
      <c r="AG92" s="452"/>
      <c r="AH92" s="225"/>
    </row>
    <row r="93" customFormat="false" ht="12.75" hidden="true" customHeight="false" outlineLevel="1" collapsed="false">
      <c r="A93" s="118" t="s">
        <v>357</v>
      </c>
      <c r="B93" s="452" t="n">
        <v>0</v>
      </c>
      <c r="C93" s="452" t="n">
        <v>0</v>
      </c>
      <c r="D93" s="452" t="n">
        <v>0</v>
      </c>
      <c r="E93" s="452" t="n">
        <v>0</v>
      </c>
      <c r="F93" s="452" t="n">
        <v>0</v>
      </c>
      <c r="G93" s="452" t="n">
        <v>0</v>
      </c>
      <c r="H93" s="452" t="n">
        <v>0</v>
      </c>
      <c r="I93" s="452" t="n">
        <v>0</v>
      </c>
      <c r="J93" s="452" t="n">
        <v>0</v>
      </c>
      <c r="K93" s="452" t="n">
        <v>0</v>
      </c>
      <c r="L93" s="452" t="n">
        <v>0</v>
      </c>
      <c r="M93" s="452" t="n">
        <v>0</v>
      </c>
      <c r="N93" s="452" t="n">
        <v>0</v>
      </c>
      <c r="O93" s="452" t="n">
        <v>0</v>
      </c>
      <c r="P93" s="452" t="n">
        <v>0</v>
      </c>
      <c r="Q93" s="452" t="n">
        <v>0</v>
      </c>
      <c r="R93" s="452" t="n">
        <v>0</v>
      </c>
      <c r="S93" s="452" t="n">
        <v>0</v>
      </c>
      <c r="T93" s="476" t="n">
        <v>0</v>
      </c>
      <c r="U93" s="476" t="n">
        <v>0</v>
      </c>
      <c r="V93" s="476" t="n">
        <v>0</v>
      </c>
      <c r="W93" s="476" t="n">
        <v>0</v>
      </c>
      <c r="X93" s="476" t="n">
        <v>0</v>
      </c>
      <c r="Y93" s="476" t="n">
        <v>0</v>
      </c>
      <c r="Z93" s="476" t="n">
        <v>0</v>
      </c>
      <c r="AA93" s="476" t="n">
        <v>0</v>
      </c>
      <c r="AB93" s="476" t="n">
        <v>0</v>
      </c>
      <c r="AC93" s="476" t="n">
        <v>0</v>
      </c>
      <c r="AD93" s="476" t="n">
        <v>0</v>
      </c>
      <c r="AE93" s="476" t="n">
        <v>0</v>
      </c>
      <c r="AF93" s="476" t="n">
        <v>0</v>
      </c>
      <c r="AG93" s="452"/>
      <c r="AH93" s="225"/>
    </row>
    <row r="94" customFormat="false" ht="12.75" hidden="true" customHeight="false" outlineLevel="1" collapsed="false">
      <c r="A94" s="480" t="s">
        <v>358</v>
      </c>
      <c r="B94" s="459" t="n">
        <f aca="false">B88+B83</f>
        <v>0</v>
      </c>
      <c r="C94" s="459" t="n">
        <f aca="false">C88+C83</f>
        <v>0</v>
      </c>
      <c r="D94" s="459" t="n">
        <f aca="false">D88+D83</f>
        <v>0</v>
      </c>
      <c r="E94" s="459" t="n">
        <f aca="false">E88+E83</f>
        <v>0</v>
      </c>
      <c r="F94" s="459" t="n">
        <f aca="false">F88+F83</f>
        <v>0</v>
      </c>
      <c r="G94" s="459" t="n">
        <f aca="false">G88+G83</f>
        <v>0</v>
      </c>
      <c r="H94" s="459" t="n">
        <f aca="false">H88+H83</f>
        <v>0</v>
      </c>
      <c r="I94" s="459" t="n">
        <f aca="false">I88+I83</f>
        <v>0</v>
      </c>
      <c r="J94" s="459" t="n">
        <f aca="false">J88+J83</f>
        <v>0</v>
      </c>
      <c r="K94" s="459" t="n">
        <f aca="false">K88+K83</f>
        <v>0</v>
      </c>
      <c r="L94" s="459" t="n">
        <f aca="false">L88+L83</f>
        <v>0</v>
      </c>
      <c r="M94" s="459" t="n">
        <f aca="false">M88+M83</f>
        <v>0</v>
      </c>
      <c r="N94" s="459" t="n">
        <f aca="false">N88+N83</f>
        <v>0</v>
      </c>
      <c r="O94" s="459" t="n">
        <f aca="false">O88+O83</f>
        <v>0</v>
      </c>
      <c r="P94" s="459" t="n">
        <f aca="false">P88+P83</f>
        <v>0</v>
      </c>
      <c r="Q94" s="459" t="n">
        <f aca="false">Q88+Q83</f>
        <v>0</v>
      </c>
      <c r="R94" s="459" t="n">
        <f aca="false">R88+R83</f>
        <v>0</v>
      </c>
      <c r="S94" s="459" t="n">
        <f aca="false">S88+S83</f>
        <v>0</v>
      </c>
      <c r="T94" s="459" t="n">
        <f aca="false">T88+T83</f>
        <v>0</v>
      </c>
      <c r="U94" s="459" t="n">
        <f aca="false">U88+U83</f>
        <v>0</v>
      </c>
      <c r="V94" s="459" t="n">
        <f aca="false">V88+V83</f>
        <v>0</v>
      </c>
      <c r="W94" s="459" t="n">
        <f aca="false">W88+W83</f>
        <v>0</v>
      </c>
      <c r="X94" s="459" t="n">
        <f aca="false">X88+X83</f>
        <v>0</v>
      </c>
      <c r="Y94" s="459" t="n">
        <f aca="false">Y88+Y83</f>
        <v>0</v>
      </c>
      <c r="Z94" s="459" t="n">
        <f aca="false">Z88+Z83</f>
        <v>0</v>
      </c>
      <c r="AA94" s="459" t="n">
        <f aca="false">AA88+AA83</f>
        <v>0</v>
      </c>
      <c r="AB94" s="459" t="n">
        <f aca="false">AB88+AB83</f>
        <v>0</v>
      </c>
      <c r="AC94" s="459" t="n">
        <f aca="false">AC88+AC83</f>
        <v>0</v>
      </c>
      <c r="AD94" s="459" t="n">
        <f aca="false">AD88+AD83</f>
        <v>0</v>
      </c>
      <c r="AE94" s="459" t="n">
        <f aca="false">AE88+AE83</f>
        <v>0</v>
      </c>
      <c r="AF94" s="459" t="n">
        <f aca="false">AF88+AF83</f>
        <v>0</v>
      </c>
      <c r="AG94" s="452"/>
      <c r="AH94" s="225"/>
    </row>
    <row r="95" customFormat="false" ht="12.75" hidden="false" customHeight="false" outlineLevel="0" collapsed="false">
      <c r="T95" s="114"/>
      <c r="U95" s="114"/>
      <c r="V95" s="114"/>
      <c r="W95" s="114"/>
      <c r="X95" s="114"/>
      <c r="Y95" s="114"/>
      <c r="Z95" s="114"/>
      <c r="AA95" s="114"/>
      <c r="AB95" s="114"/>
      <c r="AC95" s="114"/>
      <c r="AD95" s="114"/>
      <c r="AE95" s="114"/>
      <c r="AF95" s="114"/>
    </row>
    <row r="97" customFormat="false" ht="12.75" hidden="false" customHeight="false" outlineLevel="0" collapsed="false">
      <c r="A97" s="485" t="s">
        <v>284</v>
      </c>
      <c r="B97" s="486" t="n">
        <v>0</v>
      </c>
      <c r="C97" s="486" t="n">
        <f aca="false">IS!D72</f>
        <v>7180.85545774194</v>
      </c>
      <c r="D97" s="486" t="n">
        <f aca="false">IS!E72</f>
        <v>10656.0590557205</v>
      </c>
      <c r="E97" s="486" t="n">
        <f aca="false">IS!F72</f>
        <v>10656.0590557205</v>
      </c>
      <c r="F97" s="486" t="n">
        <f aca="false">IS!G72</f>
        <v>10656.0590557205</v>
      </c>
      <c r="G97" s="486" t="n">
        <f aca="false">IS!H72</f>
        <v>10656.0590557205</v>
      </c>
      <c r="H97" s="486" t="n">
        <f aca="false">IS!I72</f>
        <v>10656.0590557205</v>
      </c>
      <c r="I97" s="486" t="n">
        <f aca="false">IS!J72</f>
        <v>10656.0590557205</v>
      </c>
      <c r="J97" s="486" t="n">
        <f aca="false">IS!K72</f>
        <v>10656.0590557205</v>
      </c>
      <c r="K97" s="486" t="n">
        <f aca="false">IS!L72</f>
        <v>10656.0590557205</v>
      </c>
      <c r="L97" s="486" t="n">
        <f aca="false">IS!M72</f>
        <v>10656.0590557205</v>
      </c>
      <c r="M97" s="486" t="n">
        <f aca="false">IS!N72</f>
        <v>10656.0590557205</v>
      </c>
      <c r="N97" s="486" t="n">
        <f aca="false">IS!O72</f>
        <v>10656.0590557205</v>
      </c>
      <c r="O97" s="486" t="n">
        <f aca="false">IS!P72</f>
        <v>10656.0590557205</v>
      </c>
      <c r="P97" s="486" t="n">
        <f aca="false">IS!Q72</f>
        <v>10656.0590557205</v>
      </c>
      <c r="Q97" s="486" t="n">
        <f aca="false">IS!R72</f>
        <v>10656.0590557205</v>
      </c>
      <c r="R97" s="486" t="n">
        <f aca="false">IS!S72</f>
        <v>10656.0590557205</v>
      </c>
      <c r="S97" s="486" t="n">
        <f aca="false">IS!T72</f>
        <v>10656.0590557205</v>
      </c>
      <c r="T97" s="486" t="n">
        <f aca="false">IS!U72</f>
        <v>10656.0590557205</v>
      </c>
      <c r="U97" s="486" t="n">
        <f aca="false">IS!V72</f>
        <v>10656.0590557205</v>
      </c>
      <c r="V97" s="486" t="n">
        <f aca="false">IS!W72</f>
        <v>10656.0590557205</v>
      </c>
      <c r="W97" s="486" t="n">
        <f aca="false">IS!X72</f>
        <v>10656.0590557205</v>
      </c>
      <c r="X97" s="486" t="n">
        <f aca="false">IS!Y72</f>
        <v>10656.0590557205</v>
      </c>
      <c r="Y97" s="486" t="n">
        <f aca="false">IS!Z72</f>
        <v>10656.0590557205</v>
      </c>
      <c r="Z97" s="486" t="n">
        <f aca="false">IS!AA72</f>
        <v>10656.0590557205</v>
      </c>
      <c r="AA97" s="486" t="n">
        <f aca="false">IS!AB72</f>
        <v>10656.0590557205</v>
      </c>
      <c r="AB97" s="486" t="n">
        <f aca="false">IS!AC72</f>
        <v>-2661.55130427948</v>
      </c>
      <c r="AC97" s="486" t="n">
        <f aca="false">IS!AD72</f>
        <v>-2661.55130427948</v>
      </c>
      <c r="AD97" s="486" t="n">
        <f aca="false">IS!AE72</f>
        <v>-2661.55130427948</v>
      </c>
      <c r="AE97" s="486" t="n">
        <f aca="false">IS!AF72</f>
        <v>-2661.55130427948</v>
      </c>
      <c r="AF97" s="486" t="n">
        <f aca="false">IS!AG72</f>
        <v>-2661.55130427948</v>
      </c>
      <c r="AG97" s="486"/>
      <c r="AH97" s="116"/>
      <c r="AI97" s="116"/>
      <c r="AJ97" s="116"/>
      <c r="AK97" s="116"/>
      <c r="AL97" s="116"/>
      <c r="AM97" s="116"/>
    </row>
    <row r="98" customFormat="false" ht="12.75" hidden="false" customHeight="false" outlineLevel="0" collapsed="false">
      <c r="A98" s="418"/>
      <c r="B98" s="487"/>
      <c r="C98" s="487"/>
      <c r="D98" s="487"/>
      <c r="E98" s="487"/>
      <c r="F98" s="487"/>
      <c r="G98" s="487"/>
      <c r="H98" s="487"/>
      <c r="I98" s="487"/>
      <c r="J98" s="487"/>
      <c r="K98" s="487"/>
      <c r="L98" s="487"/>
      <c r="M98" s="487"/>
      <c r="N98" s="487"/>
      <c r="O98" s="487"/>
      <c r="P98" s="487"/>
      <c r="Q98" s="487"/>
      <c r="R98" s="487"/>
      <c r="S98" s="487"/>
      <c r="T98" s="487"/>
      <c r="U98" s="487"/>
      <c r="V98" s="487"/>
      <c r="W98" s="487"/>
      <c r="X98" s="487"/>
      <c r="Y98" s="487"/>
      <c r="Z98" s="487"/>
      <c r="AA98" s="487"/>
      <c r="AB98" s="487"/>
      <c r="AC98" s="487"/>
      <c r="AD98" s="487"/>
      <c r="AE98" s="487"/>
      <c r="AF98" s="487"/>
      <c r="AG98" s="418"/>
      <c r="AH98" s="418"/>
      <c r="AI98" s="418"/>
      <c r="AJ98" s="418"/>
      <c r="AK98" s="418"/>
      <c r="AL98" s="418"/>
      <c r="AM98" s="418"/>
    </row>
    <row r="99" customFormat="false" ht="12.75" hidden="false" customHeight="false" outlineLevel="0" collapsed="false">
      <c r="A99" s="487" t="s">
        <v>362</v>
      </c>
      <c r="B99" s="487" t="n">
        <f aca="false">+B48+B50</f>
        <v>0</v>
      </c>
      <c r="C99" s="487" t="n">
        <f aca="false">+C48+C50</f>
        <v>4187.82571517664</v>
      </c>
      <c r="D99" s="487" t="n">
        <f aca="false">+D48+D50</f>
        <v>8375.65143035329</v>
      </c>
      <c r="E99" s="487" t="n">
        <f aca="false">+E48+E50</f>
        <v>8375.65143035329</v>
      </c>
      <c r="F99" s="487" t="n">
        <f aca="false">+F48+F50</f>
        <v>8375.65143035329</v>
      </c>
      <c r="G99" s="487" t="n">
        <f aca="false">+G48+G50</f>
        <v>8375.65143035329</v>
      </c>
      <c r="H99" s="487" t="n">
        <f aca="false">+H48+H50</f>
        <v>8375.65143035329</v>
      </c>
      <c r="I99" s="487" t="n">
        <f aca="false">+I48+I50</f>
        <v>8375.65143035329</v>
      </c>
      <c r="J99" s="487" t="n">
        <f aca="false">+J48+J50</f>
        <v>8375.65143035329</v>
      </c>
      <c r="K99" s="487" t="n">
        <f aca="false">+K48+K50</f>
        <v>8375.65143035329</v>
      </c>
      <c r="L99" s="487" t="n">
        <f aca="false">+L48+L50</f>
        <v>8375.65143035329</v>
      </c>
      <c r="M99" s="487" t="n">
        <f aca="false">+M48+M50</f>
        <v>8375.65143035329</v>
      </c>
      <c r="N99" s="487" t="n">
        <f aca="false">+N48+N50</f>
        <v>8375.65143035329</v>
      </c>
      <c r="O99" s="487" t="n">
        <f aca="false">+O48+O50</f>
        <v>8375.65143035329</v>
      </c>
      <c r="P99" s="487" t="n">
        <f aca="false">+P48+P50</f>
        <v>8375.65143035329</v>
      </c>
      <c r="Q99" s="487" t="n">
        <f aca="false">+Q48+Q50</f>
        <v>8375.65143035329</v>
      </c>
      <c r="R99" s="487" t="n">
        <f aca="false">+R48+R50</f>
        <v>8375.65143035329</v>
      </c>
      <c r="S99" s="487" t="n">
        <f aca="false">+S48+S50</f>
        <v>8375.65143035329</v>
      </c>
      <c r="T99" s="487" t="n">
        <f aca="false">+T48+T50</f>
        <v>4567.57394427375</v>
      </c>
      <c r="U99" s="487" t="n">
        <f aca="false">+U48+U50</f>
        <v>0</v>
      </c>
      <c r="V99" s="487" t="n">
        <f aca="false">+V48+V50</f>
        <v>0</v>
      </c>
      <c r="W99" s="487" t="n">
        <f aca="false">+W48+W50</f>
        <v>0</v>
      </c>
      <c r="X99" s="487" t="n">
        <f aca="false">+X48+X50</f>
        <v>0</v>
      </c>
      <c r="Y99" s="487" t="n">
        <f aca="false">+Y48+Y50</f>
        <v>0</v>
      </c>
      <c r="Z99" s="487" t="n">
        <f aca="false">+Z48+Z50</f>
        <v>0</v>
      </c>
      <c r="AA99" s="487" t="n">
        <f aca="false">+AA48+AA50</f>
        <v>0</v>
      </c>
      <c r="AB99" s="487" t="n">
        <f aca="false">+AB48+AB50</f>
        <v>0</v>
      </c>
      <c r="AC99" s="487" t="n">
        <f aca="false">+AC48+AC50</f>
        <v>0</v>
      </c>
      <c r="AD99" s="487" t="n">
        <f aca="false">+AD48+AD50</f>
        <v>0</v>
      </c>
      <c r="AE99" s="487" t="n">
        <f aca="false">+AE48+AE50</f>
        <v>0</v>
      </c>
      <c r="AF99" s="487" t="n">
        <f aca="false">+AF48+AF50</f>
        <v>0</v>
      </c>
      <c r="AG99" s="487"/>
      <c r="AH99" s="487"/>
      <c r="AI99" s="487"/>
      <c r="AJ99" s="487"/>
      <c r="AK99" s="487"/>
      <c r="AL99" s="487"/>
      <c r="AM99" s="487"/>
    </row>
    <row r="100" customFormat="false" ht="12.75" hidden="false" customHeight="false" outlineLevel="0" collapsed="false">
      <c r="A100" s="487" t="s">
        <v>363</v>
      </c>
      <c r="B100" s="487" t="n">
        <f aca="false">B66+B67+B71+B72</f>
        <v>0</v>
      </c>
      <c r="C100" s="487" t="n">
        <f aca="false">C66+C67+C71+C72</f>
        <v>0</v>
      </c>
      <c r="D100" s="487" t="n">
        <f aca="false">D66+D67+D71+D72</f>
        <v>0</v>
      </c>
      <c r="E100" s="487" t="n">
        <f aca="false">E66+E67+E71+E72</f>
        <v>0</v>
      </c>
      <c r="F100" s="487" t="n">
        <f aca="false">F66+F67+F71+F72</f>
        <v>0</v>
      </c>
      <c r="G100" s="487" t="n">
        <f aca="false">G66+G67+G71+G72</f>
        <v>0</v>
      </c>
      <c r="H100" s="487" t="n">
        <f aca="false">H66+H67+H71+H72</f>
        <v>0</v>
      </c>
      <c r="I100" s="487" t="n">
        <f aca="false">I66+I67+I71+I72</f>
        <v>0</v>
      </c>
      <c r="J100" s="487" t="n">
        <f aca="false">J66+J67+J71+J72</f>
        <v>0</v>
      </c>
      <c r="K100" s="487" t="n">
        <f aca="false">K66+K67+K71+K72</f>
        <v>0</v>
      </c>
      <c r="L100" s="487" t="n">
        <f aca="false">L66+L67+L71+L72</f>
        <v>0</v>
      </c>
      <c r="M100" s="487" t="n">
        <f aca="false">M66+M67+M71+M72</f>
        <v>0</v>
      </c>
      <c r="N100" s="487" t="n">
        <f aca="false">N66+N67+N71+N72</f>
        <v>0</v>
      </c>
      <c r="O100" s="487" t="n">
        <f aca="false">O66+O67+O71+O72</f>
        <v>0</v>
      </c>
      <c r="P100" s="487" t="n">
        <f aca="false">P66+P67+P71+P72</f>
        <v>0</v>
      </c>
      <c r="Q100" s="487" t="n">
        <f aca="false">Q66+Q67+Q71+Q72</f>
        <v>0</v>
      </c>
      <c r="R100" s="487" t="n">
        <f aca="false">R66+R67+R71+R72</f>
        <v>0</v>
      </c>
      <c r="S100" s="487" t="n">
        <f aca="false">S66+S67+S71+S72</f>
        <v>0</v>
      </c>
      <c r="T100" s="487" t="n">
        <f aca="false">T66+T67+T71+T72</f>
        <v>0</v>
      </c>
      <c r="U100" s="487" t="n">
        <f aca="false">U66+U67+U71+U72</f>
        <v>0</v>
      </c>
      <c r="V100" s="487" t="n">
        <f aca="false">V66+V67+V71+V72</f>
        <v>0</v>
      </c>
      <c r="W100" s="487" t="n">
        <f aca="false">W66+W67+W71+W72</f>
        <v>0</v>
      </c>
      <c r="X100" s="487" t="n">
        <f aca="false">X66+X67+X71+X72</f>
        <v>0</v>
      </c>
      <c r="Y100" s="487" t="n">
        <f aca="false">Y66+Y67+Y71+Y72</f>
        <v>0</v>
      </c>
      <c r="Z100" s="487" t="n">
        <f aca="false">Z66+Z67+Z71+Z72</f>
        <v>0</v>
      </c>
      <c r="AA100" s="487" t="n">
        <f aca="false">AA66+AA67+AA71+AA72</f>
        <v>0</v>
      </c>
      <c r="AB100" s="487" t="n">
        <f aca="false">AB66+AB67+AB71+AB72</f>
        <v>0</v>
      </c>
      <c r="AC100" s="487" t="n">
        <f aca="false">AC66+AC67+AC71+AC72</f>
        <v>0</v>
      </c>
      <c r="AD100" s="487" t="n">
        <f aca="false">AD66+AD67+AD71+AD72</f>
        <v>0</v>
      </c>
      <c r="AE100" s="487" t="n">
        <f aca="false">AE66+AE67+AE71+AE72</f>
        <v>0</v>
      </c>
      <c r="AF100" s="487" t="n">
        <f aca="false">AF66+AF67+AF71+AF72</f>
        <v>0</v>
      </c>
      <c r="AG100" s="487"/>
      <c r="AH100" s="487"/>
      <c r="AI100" s="487"/>
      <c r="AJ100" s="487"/>
      <c r="AK100" s="487"/>
      <c r="AL100" s="487"/>
      <c r="AM100" s="487"/>
    </row>
    <row r="101" customFormat="false" ht="12.75" hidden="false" customHeight="false" outlineLevel="0" collapsed="false">
      <c r="A101" s="487" t="s">
        <v>364</v>
      </c>
      <c r="B101" s="487" t="n">
        <f aca="false">B83+B84+B88+B89</f>
        <v>0</v>
      </c>
      <c r="C101" s="487" t="n">
        <f aca="false">C83+C84+C88+C89</f>
        <v>0</v>
      </c>
      <c r="D101" s="487" t="n">
        <f aca="false">D83+D84+D88+D89</f>
        <v>0</v>
      </c>
      <c r="E101" s="487" t="n">
        <f aca="false">E83+E84+E88+E89</f>
        <v>0</v>
      </c>
      <c r="F101" s="487" t="n">
        <f aca="false">F83+F84+F88+F89</f>
        <v>0</v>
      </c>
      <c r="G101" s="487" t="n">
        <f aca="false">G83+G84+G88+G89</f>
        <v>0</v>
      </c>
      <c r="H101" s="487" t="n">
        <f aca="false">H83+H84+H88+H89</f>
        <v>0</v>
      </c>
      <c r="I101" s="487" t="n">
        <f aca="false">I83+I84+I88+I89</f>
        <v>0</v>
      </c>
      <c r="J101" s="487" t="n">
        <f aca="false">J83+J84+J88+J89</f>
        <v>0</v>
      </c>
      <c r="K101" s="487" t="n">
        <f aca="false">K83+K84+K88+K89</f>
        <v>0</v>
      </c>
      <c r="L101" s="487" t="n">
        <f aca="false">L83+L84+L88+L89</f>
        <v>0</v>
      </c>
      <c r="M101" s="487" t="n">
        <f aca="false">M83+M84+M88+M89</f>
        <v>0</v>
      </c>
      <c r="N101" s="487" t="n">
        <f aca="false">N83+N84+N88+N89</f>
        <v>0</v>
      </c>
      <c r="O101" s="487" t="n">
        <f aca="false">O83+O84+O88+O89</f>
        <v>0</v>
      </c>
      <c r="P101" s="487" t="n">
        <f aca="false">P83+P84+P88+P89</f>
        <v>0</v>
      </c>
      <c r="Q101" s="487" t="n">
        <f aca="false">Q83+Q84+Q88+Q89</f>
        <v>0</v>
      </c>
      <c r="R101" s="487" t="n">
        <f aca="false">R83+R84+R88+R89</f>
        <v>0</v>
      </c>
      <c r="S101" s="487" t="n">
        <f aca="false">S83+S84+S88+S89</f>
        <v>0</v>
      </c>
      <c r="T101" s="487" t="n">
        <f aca="false">T83+T84+T88+T89</f>
        <v>0</v>
      </c>
      <c r="U101" s="487" t="n">
        <f aca="false">U83+U84+U88+U89</f>
        <v>0</v>
      </c>
      <c r="V101" s="487" t="n">
        <f aca="false">V83+V84+V88+V89</f>
        <v>0</v>
      </c>
      <c r="W101" s="487" t="n">
        <f aca="false">W83+W84+W88+W89</f>
        <v>0</v>
      </c>
      <c r="X101" s="487" t="n">
        <f aca="false">X83+X84+X88+X89</f>
        <v>0</v>
      </c>
      <c r="Y101" s="487" t="n">
        <f aca="false">Y83+Y84+Y88+Y89</f>
        <v>0</v>
      </c>
      <c r="Z101" s="487" t="n">
        <f aca="false">Z83+Z84+Z88+Z89</f>
        <v>0</v>
      </c>
      <c r="AA101" s="487" t="n">
        <f aca="false">AA83+AA84+AA88+AA89</f>
        <v>0</v>
      </c>
      <c r="AB101" s="487" t="n">
        <f aca="false">AB83+AB84+AB88+AB89</f>
        <v>0</v>
      </c>
      <c r="AC101" s="487" t="n">
        <f aca="false">AC83+AC84+AC88+AC89</f>
        <v>0</v>
      </c>
      <c r="AD101" s="487" t="n">
        <f aca="false">AD83+AD84+AD88+AD89</f>
        <v>0</v>
      </c>
      <c r="AE101" s="487" t="n">
        <f aca="false">AE83+AE84+AE88+AE89</f>
        <v>0</v>
      </c>
      <c r="AF101" s="487" t="n">
        <f aca="false">AF83+AF84+AF88+AF89</f>
        <v>0</v>
      </c>
      <c r="AG101" s="487"/>
      <c r="AH101" s="487"/>
      <c r="AI101" s="487"/>
      <c r="AJ101" s="487"/>
      <c r="AK101" s="487"/>
      <c r="AL101" s="487"/>
      <c r="AM101" s="487"/>
    </row>
    <row r="102" customFormat="false" ht="12.75" hidden="false" customHeight="false" outlineLevel="0" collapsed="false">
      <c r="A102" s="418" t="s">
        <v>365</v>
      </c>
      <c r="B102" s="488" t="n">
        <v>0</v>
      </c>
      <c r="C102" s="488" t="n">
        <v>0</v>
      </c>
      <c r="D102" s="489" t="n">
        <v>0</v>
      </c>
      <c r="E102" s="489" t="n">
        <v>0</v>
      </c>
      <c r="F102" s="489" t="n">
        <v>0</v>
      </c>
      <c r="G102" s="489" t="n">
        <v>0</v>
      </c>
      <c r="H102" s="489" t="n">
        <v>0</v>
      </c>
      <c r="I102" s="489" t="n">
        <v>0</v>
      </c>
      <c r="J102" s="489" t="n">
        <v>0</v>
      </c>
      <c r="K102" s="489" t="n">
        <v>0</v>
      </c>
      <c r="L102" s="489" t="n">
        <v>0</v>
      </c>
      <c r="M102" s="489" t="n">
        <v>0</v>
      </c>
      <c r="N102" s="489" t="n">
        <v>0</v>
      </c>
      <c r="O102" s="489" t="n">
        <v>0</v>
      </c>
      <c r="P102" s="489" t="n">
        <v>0</v>
      </c>
      <c r="Q102" s="489" t="n">
        <v>0</v>
      </c>
      <c r="R102" s="489" t="n">
        <v>0</v>
      </c>
      <c r="S102" s="489" t="n">
        <v>0</v>
      </c>
      <c r="T102" s="489" t="n">
        <v>0</v>
      </c>
      <c r="U102" s="489" t="n">
        <v>0</v>
      </c>
      <c r="V102" s="489" t="n">
        <v>0</v>
      </c>
      <c r="W102" s="489" t="n">
        <v>0</v>
      </c>
      <c r="X102" s="489" t="n">
        <v>0</v>
      </c>
      <c r="Y102" s="489" t="n">
        <v>0</v>
      </c>
      <c r="Z102" s="489" t="n">
        <v>0</v>
      </c>
      <c r="AA102" s="489" t="n">
        <v>0</v>
      </c>
      <c r="AB102" s="489" t="n">
        <v>0</v>
      </c>
      <c r="AC102" s="489" t="n">
        <v>0</v>
      </c>
      <c r="AD102" s="489" t="n">
        <v>0</v>
      </c>
      <c r="AE102" s="489" t="n">
        <v>0</v>
      </c>
      <c r="AF102" s="489" t="n">
        <v>0</v>
      </c>
      <c r="AG102" s="487"/>
      <c r="AH102" s="487"/>
      <c r="AI102" s="487"/>
      <c r="AJ102" s="487"/>
      <c r="AK102" s="487"/>
      <c r="AL102" s="487"/>
      <c r="AM102" s="487"/>
    </row>
    <row r="103" customFormat="false" ht="12.75" hidden="false" customHeight="false" outlineLevel="0" collapsed="false">
      <c r="B103" s="452"/>
      <c r="C103" s="452"/>
      <c r="D103" s="452"/>
      <c r="E103" s="452"/>
      <c r="F103" s="452"/>
      <c r="G103" s="452"/>
      <c r="H103" s="452"/>
      <c r="I103" s="452"/>
      <c r="J103" s="452"/>
      <c r="K103" s="452"/>
      <c r="L103" s="452"/>
      <c r="M103" s="452"/>
      <c r="N103" s="452"/>
      <c r="O103" s="452"/>
      <c r="P103" s="452"/>
      <c r="Q103" s="452"/>
      <c r="R103" s="452"/>
      <c r="S103" s="452"/>
      <c r="T103" s="452"/>
      <c r="U103" s="452"/>
      <c r="V103" s="452"/>
      <c r="W103" s="452"/>
      <c r="X103" s="452"/>
      <c r="Y103" s="452"/>
      <c r="Z103" s="452"/>
      <c r="AA103" s="452"/>
      <c r="AB103" s="452"/>
      <c r="AC103" s="452"/>
      <c r="AD103" s="452"/>
      <c r="AE103" s="452"/>
      <c r="AF103" s="452"/>
      <c r="AG103" s="487"/>
      <c r="AH103" s="487"/>
      <c r="AI103" s="487"/>
      <c r="AJ103" s="487"/>
      <c r="AK103" s="487"/>
      <c r="AL103" s="487"/>
      <c r="AM103" s="487"/>
    </row>
    <row r="104" customFormat="false" ht="12.75" hidden="false" customHeight="false" outlineLevel="0" collapsed="false">
      <c r="A104" s="480" t="s">
        <v>366</v>
      </c>
      <c r="B104" s="480" t="n">
        <f aca="false">SUM(B99:B101)-B102</f>
        <v>0</v>
      </c>
      <c r="C104" s="480" t="n">
        <f aca="false">SUM(C99:C101)-C102</f>
        <v>4187.82571517664</v>
      </c>
      <c r="D104" s="480" t="n">
        <f aca="false">SUM(D99:D101)-D102</f>
        <v>8375.65143035329</v>
      </c>
      <c r="E104" s="480" t="n">
        <f aca="false">SUM(E99:E101)-E102</f>
        <v>8375.65143035329</v>
      </c>
      <c r="F104" s="480" t="n">
        <f aca="false">SUM(F99:F101)-F102</f>
        <v>8375.65143035329</v>
      </c>
      <c r="G104" s="480" t="n">
        <f aca="false">SUM(G99:G101)-G102</f>
        <v>8375.65143035329</v>
      </c>
      <c r="H104" s="480" t="n">
        <f aca="false">SUM(H99:H101)-H102</f>
        <v>8375.65143035329</v>
      </c>
      <c r="I104" s="480" t="n">
        <f aca="false">SUM(I99:I101)-I102</f>
        <v>8375.65143035329</v>
      </c>
      <c r="J104" s="480" t="n">
        <f aca="false">SUM(J99:J101)-J102</f>
        <v>8375.65143035329</v>
      </c>
      <c r="K104" s="480" t="n">
        <f aca="false">SUM(K99:K101)-K102</f>
        <v>8375.65143035329</v>
      </c>
      <c r="L104" s="480" t="n">
        <f aca="false">SUM(L99:L101)-L102</f>
        <v>8375.65143035329</v>
      </c>
      <c r="M104" s="480" t="n">
        <f aca="false">SUM(M99:M101)-M102</f>
        <v>8375.65143035329</v>
      </c>
      <c r="N104" s="480" t="n">
        <f aca="false">SUM(N99:N101)-N102</f>
        <v>8375.65143035329</v>
      </c>
      <c r="O104" s="480" t="n">
        <f aca="false">SUM(O99:O101)-O102</f>
        <v>8375.65143035329</v>
      </c>
      <c r="P104" s="480" t="n">
        <f aca="false">SUM(P99:P101)-P102</f>
        <v>8375.65143035329</v>
      </c>
      <c r="Q104" s="480" t="n">
        <f aca="false">SUM(Q99:Q101)-Q102</f>
        <v>8375.65143035329</v>
      </c>
      <c r="R104" s="480" t="n">
        <f aca="false">SUM(R99:R101)-R102</f>
        <v>8375.65143035329</v>
      </c>
      <c r="S104" s="480" t="n">
        <f aca="false">SUM(S99:S101)-S102</f>
        <v>8375.65143035329</v>
      </c>
      <c r="T104" s="480" t="n">
        <f aca="false">SUM(T99:T101)-T102</f>
        <v>4567.57394427375</v>
      </c>
      <c r="U104" s="480" t="n">
        <f aca="false">SUM(U99:U101)-U102</f>
        <v>0</v>
      </c>
      <c r="V104" s="480" t="n">
        <f aca="false">SUM(V99:V101)-V102</f>
        <v>0</v>
      </c>
      <c r="W104" s="480" t="n">
        <f aca="false">SUM(W99:W101)-W102</f>
        <v>0</v>
      </c>
      <c r="X104" s="480" t="n">
        <f aca="false">SUM(X99:X101)-X102</f>
        <v>0</v>
      </c>
      <c r="Y104" s="480" t="n">
        <f aca="false">SUM(Y99:Y101)-Y102</f>
        <v>0</v>
      </c>
      <c r="Z104" s="480" t="n">
        <f aca="false">SUM(Z99:Z101)-Z102</f>
        <v>0</v>
      </c>
      <c r="AA104" s="480" t="n">
        <f aca="false">SUM(AA99:AA101)-AA102</f>
        <v>0</v>
      </c>
      <c r="AB104" s="480" t="n">
        <f aca="false">SUM(AB99:AB101)-AB102</f>
        <v>0</v>
      </c>
      <c r="AC104" s="480" t="n">
        <f aca="false">SUM(AC99:AC101)-AC102</f>
        <v>0</v>
      </c>
      <c r="AD104" s="480" t="n">
        <f aca="false">SUM(AD99:AD101)-AD102</f>
        <v>0</v>
      </c>
      <c r="AE104" s="480" t="n">
        <f aca="false">SUM(AE99:AE101)-AE102</f>
        <v>0</v>
      </c>
      <c r="AF104" s="480" t="n">
        <f aca="false">SUM(AF99:AF101)-AF102</f>
        <v>0</v>
      </c>
      <c r="AG104" s="480"/>
      <c r="AH104" s="480"/>
      <c r="AI104" s="480"/>
      <c r="AJ104" s="480"/>
      <c r="AK104" s="480"/>
      <c r="AL104" s="480"/>
      <c r="AM104" s="480"/>
    </row>
    <row r="105" customFormat="false" ht="12.75" hidden="false" customHeight="false" outlineLevel="0" collapsed="false">
      <c r="A105" s="480"/>
      <c r="B105" s="480"/>
      <c r="C105" s="480"/>
      <c r="D105" s="480"/>
      <c r="E105" s="480"/>
      <c r="F105" s="480"/>
      <c r="G105" s="480"/>
      <c r="H105" s="480"/>
      <c r="I105" s="480"/>
      <c r="J105" s="480"/>
      <c r="K105" s="480"/>
      <c r="L105" s="480"/>
      <c r="M105" s="480"/>
      <c r="N105" s="480"/>
      <c r="O105" s="480"/>
      <c r="P105" s="480"/>
      <c r="Q105" s="480"/>
      <c r="R105" s="480"/>
      <c r="S105" s="480"/>
      <c r="T105" s="480"/>
      <c r="U105" s="480"/>
      <c r="V105" s="480"/>
      <c r="W105" s="480"/>
      <c r="X105" s="480"/>
      <c r="Y105" s="480"/>
      <c r="Z105" s="480"/>
      <c r="AA105" s="480"/>
      <c r="AB105" s="480"/>
      <c r="AC105" s="480"/>
      <c r="AD105" s="480"/>
      <c r="AE105" s="480"/>
      <c r="AF105" s="480"/>
      <c r="AG105" s="480"/>
      <c r="AH105" s="480"/>
      <c r="AI105" s="480"/>
      <c r="AJ105" s="480"/>
      <c r="AK105" s="480"/>
      <c r="AL105" s="480"/>
      <c r="AM105" s="480"/>
    </row>
    <row r="106" customFormat="false" ht="12.75" hidden="false" customHeight="false" outlineLevel="0" collapsed="false">
      <c r="A106" s="480" t="s">
        <v>367</v>
      </c>
      <c r="B106" s="480" t="n">
        <f aca="false">B48+B75+B92</f>
        <v>0</v>
      </c>
      <c r="C106" s="480" t="n">
        <f aca="false">C48+C75+C92</f>
        <v>2063.83772288893</v>
      </c>
      <c r="D106" s="480" t="n">
        <f aca="false">D48+D75+D92</f>
        <v>5979.19491821265</v>
      </c>
      <c r="E106" s="480" t="n">
        <f aca="false">E48+E75+E92</f>
        <v>5787.87927049561</v>
      </c>
      <c r="F106" s="480" t="n">
        <f aca="false">F48+F75+F92</f>
        <v>5581.29037376447</v>
      </c>
      <c r="G106" s="480" t="n">
        <f aca="false">G48+G75+G92</f>
        <v>5358.208922969</v>
      </c>
      <c r="H106" s="480" t="n">
        <f aca="false">H48+H75+H92</f>
        <v>5117.31827261729</v>
      </c>
      <c r="I106" s="480" t="n">
        <f aca="false">I48+I75+I92</f>
        <v>4857.1966658232</v>
      </c>
      <c r="J106" s="480" t="n">
        <f aca="false">J48+J75+J92</f>
        <v>4576.30884297767</v>
      </c>
      <c r="K106" s="480" t="n">
        <f aca="false">K48+K75+K92</f>
        <v>4272.99698051728</v>
      </c>
      <c r="L106" s="480" t="n">
        <f aca="false">L48+L75+L92</f>
        <v>3945.47090631013</v>
      </c>
      <c r="M106" s="480" t="n">
        <f aca="false">M48+M75+M92</f>
        <v>3591.79753390929</v>
      </c>
      <c r="N106" s="480" t="n">
        <f aca="false">N48+N75+N92</f>
        <v>3209.88945331393</v>
      </c>
      <c r="O106" s="480" t="n">
        <f aca="false">O48+O75+O92</f>
        <v>2797.4926108999</v>
      </c>
      <c r="P106" s="480" t="n">
        <f aca="false">P48+P75+P92</f>
        <v>2352.17300580555</v>
      </c>
      <c r="Q106" s="480" t="n">
        <f aca="false">Q48+Q75+Q92</f>
        <v>1871.30232425389</v>
      </c>
      <c r="R106" s="480" t="n">
        <f aca="false">R48+R75+R92</f>
        <v>1352.04242702354</v>
      </c>
      <c r="S106" s="480" t="n">
        <f aca="false">S48+S75+S92</f>
        <v>791.328598512212</v>
      </c>
      <c r="T106" s="480" t="n">
        <f aca="false">T48+T75+T92</f>
        <v>185.85145852743</v>
      </c>
      <c r="U106" s="480" t="n">
        <f aca="false">U48+U75+U92</f>
        <v>0</v>
      </c>
      <c r="V106" s="480" t="n">
        <f aca="false">V48+V75+V92</f>
        <v>0</v>
      </c>
      <c r="W106" s="480" t="n">
        <f aca="false">W48+W75+W92</f>
        <v>0</v>
      </c>
      <c r="X106" s="480" t="n">
        <f aca="false">X48+X75+X92</f>
        <v>0</v>
      </c>
      <c r="Y106" s="480" t="n">
        <f aca="false">Y48+Y75+Y92</f>
        <v>0</v>
      </c>
      <c r="Z106" s="480" t="n">
        <f aca="false">Z48+Z75+Z92</f>
        <v>0</v>
      </c>
      <c r="AA106" s="480" t="n">
        <f aca="false">AA48+AA75+AA92</f>
        <v>0</v>
      </c>
      <c r="AB106" s="480" t="n">
        <f aca="false">AB48+AB75+AB92</f>
        <v>0</v>
      </c>
      <c r="AC106" s="480" t="n">
        <f aca="false">AC48+AC75+AC92</f>
        <v>0</v>
      </c>
      <c r="AD106" s="480" t="n">
        <f aca="false">AD48+AD75+AD92</f>
        <v>0</v>
      </c>
      <c r="AE106" s="480" t="n">
        <f aca="false">AE48+AE75+AE92</f>
        <v>0</v>
      </c>
      <c r="AF106" s="480" t="n">
        <f aca="false">AF48+AF75+AF92</f>
        <v>0</v>
      </c>
      <c r="AG106" s="480"/>
      <c r="AH106" s="480"/>
      <c r="AI106" s="480"/>
      <c r="AJ106" s="480"/>
      <c r="AK106" s="480"/>
      <c r="AL106" s="480"/>
      <c r="AM106" s="480"/>
    </row>
    <row r="107" customFormat="false" ht="12.75" hidden="false" customHeight="false" outlineLevel="0" collapsed="false">
      <c r="A107" s="480" t="s">
        <v>368</v>
      </c>
      <c r="B107" s="480" t="n">
        <f aca="false">B49+B76+B93</f>
        <v>0</v>
      </c>
      <c r="C107" s="480" t="n">
        <f aca="false">C49+C76+C93</f>
        <v>0</v>
      </c>
      <c r="D107" s="480" t="n">
        <f aca="false">D49+D76+D93</f>
        <v>0</v>
      </c>
      <c r="E107" s="480" t="n">
        <f aca="false">E49+E76+E93</f>
        <v>0</v>
      </c>
      <c r="F107" s="480" t="n">
        <f aca="false">F49+F76+F93</f>
        <v>0</v>
      </c>
      <c r="G107" s="480" t="n">
        <f aca="false">G49+G76+G93</f>
        <v>0</v>
      </c>
      <c r="H107" s="480" t="n">
        <f aca="false">H49+H76+H93</f>
        <v>0</v>
      </c>
      <c r="I107" s="480" t="n">
        <f aca="false">I49+I76+I93</f>
        <v>0</v>
      </c>
      <c r="J107" s="480" t="n">
        <f aca="false">J49+J76+J93</f>
        <v>0</v>
      </c>
      <c r="K107" s="480" t="n">
        <f aca="false">K49+K76+K93</f>
        <v>0</v>
      </c>
      <c r="L107" s="480" t="n">
        <f aca="false">L49+L76+L93</f>
        <v>0</v>
      </c>
      <c r="M107" s="480" t="n">
        <f aca="false">M49+M76+M93</f>
        <v>0</v>
      </c>
      <c r="N107" s="480" t="n">
        <f aca="false">N49+N76+N93</f>
        <v>0</v>
      </c>
      <c r="O107" s="480" t="n">
        <f aca="false">O49+O76+O93</f>
        <v>0</v>
      </c>
      <c r="P107" s="480" t="n">
        <f aca="false">P49+P76+P93</f>
        <v>0</v>
      </c>
      <c r="Q107" s="480" t="n">
        <f aca="false">Q49+Q76+Q93</f>
        <v>0</v>
      </c>
      <c r="R107" s="480" t="n">
        <f aca="false">R49+R76+R93</f>
        <v>0</v>
      </c>
      <c r="S107" s="480" t="n">
        <f aca="false">S49+S76+S93</f>
        <v>0</v>
      </c>
      <c r="T107" s="480" t="n">
        <f aca="false">T49+T76+T93</f>
        <v>0</v>
      </c>
      <c r="U107" s="480" t="n">
        <f aca="false">U49+U76+U93</f>
        <v>0</v>
      </c>
      <c r="V107" s="480" t="n">
        <f aca="false">V49+V76+V93</f>
        <v>0</v>
      </c>
      <c r="W107" s="480" t="n">
        <f aca="false">W49+W76+W93</f>
        <v>0</v>
      </c>
      <c r="X107" s="480" t="n">
        <f aca="false">X49+X76+X93</f>
        <v>0</v>
      </c>
      <c r="Y107" s="480" t="n">
        <f aca="false">Y49+Y76+Y93</f>
        <v>0</v>
      </c>
      <c r="Z107" s="480" t="n">
        <f aca="false">Z49+Z76+Z93</f>
        <v>0</v>
      </c>
      <c r="AA107" s="480" t="n">
        <f aca="false">AA49+AA76+AA93</f>
        <v>0</v>
      </c>
      <c r="AB107" s="480" t="n">
        <f aca="false">AB49+AB76+AB93</f>
        <v>0</v>
      </c>
      <c r="AC107" s="480" t="n">
        <f aca="false">AC49+AC76+AC93</f>
        <v>0</v>
      </c>
      <c r="AD107" s="480" t="n">
        <f aca="false">AD49+AD76+AD93</f>
        <v>0</v>
      </c>
      <c r="AE107" s="480" t="n">
        <f aca="false">AE49+AE76+AE93</f>
        <v>0</v>
      </c>
      <c r="AF107" s="480" t="n">
        <f aca="false">AF49+AF76+AF93</f>
        <v>0</v>
      </c>
      <c r="AG107" s="480"/>
      <c r="AH107" s="480"/>
      <c r="AI107" s="480"/>
      <c r="AJ107" s="480"/>
      <c r="AK107" s="480"/>
      <c r="AL107" s="480"/>
      <c r="AM107" s="480"/>
    </row>
    <row r="108" customFormat="false" ht="12.75" hidden="false" customHeight="false" outlineLevel="0" collapsed="false">
      <c r="A108" s="480" t="s">
        <v>358</v>
      </c>
      <c r="B108" s="480" t="n">
        <f aca="false">B94+B77+B50</f>
        <v>0</v>
      </c>
      <c r="C108" s="480" t="n">
        <f aca="false">C94+C77+C50</f>
        <v>2123.98799228771</v>
      </c>
      <c r="D108" s="480" t="n">
        <f aca="false">D94+D77+D50</f>
        <v>2396.45651214064</v>
      </c>
      <c r="E108" s="480" t="n">
        <f aca="false">E94+E77+E50</f>
        <v>2587.77215985768</v>
      </c>
      <c r="F108" s="480" t="n">
        <f aca="false">F94+F77+F50</f>
        <v>2794.36105658882</v>
      </c>
      <c r="G108" s="480" t="n">
        <f aca="false">G94+G77+G50</f>
        <v>3017.44250738428</v>
      </c>
      <c r="H108" s="480" t="n">
        <f aca="false">H94+H77+H50</f>
        <v>3258.333157736</v>
      </c>
      <c r="I108" s="480" t="n">
        <f aca="false">I94+I77+I50</f>
        <v>3518.45476453008</v>
      </c>
      <c r="J108" s="480" t="n">
        <f aca="false">J94+J77+J50</f>
        <v>3799.34258737562</v>
      </c>
      <c r="K108" s="480" t="n">
        <f aca="false">K94+K77+K50</f>
        <v>4102.65444983601</v>
      </c>
      <c r="L108" s="480" t="n">
        <f aca="false">L94+L77+L50</f>
        <v>4430.18052404315</v>
      </c>
      <c r="M108" s="480" t="n">
        <f aca="false">M94+M77+M50</f>
        <v>4783.853896444</v>
      </c>
      <c r="N108" s="480" t="n">
        <f aca="false">N94+N77+N50</f>
        <v>5165.76197703935</v>
      </c>
      <c r="O108" s="480" t="n">
        <f aca="false">O94+O77+O50</f>
        <v>5578.15881945339</v>
      </c>
      <c r="P108" s="480" t="n">
        <f aca="false">P94+P77+P50</f>
        <v>6023.47842454774</v>
      </c>
      <c r="Q108" s="480" t="n">
        <f aca="false">Q94+Q77+Q50</f>
        <v>6504.34910609939</v>
      </c>
      <c r="R108" s="480" t="n">
        <f aca="false">R94+R77+R50</f>
        <v>7023.60900332975</v>
      </c>
      <c r="S108" s="480" t="n">
        <f aca="false">S94+S77+S50</f>
        <v>7584.32283184107</v>
      </c>
      <c r="T108" s="480" t="n">
        <f aca="false">T94+T77+T50</f>
        <v>4381.72248574632</v>
      </c>
      <c r="U108" s="480" t="n">
        <f aca="false">U94+U77+U50</f>
        <v>0</v>
      </c>
      <c r="V108" s="480" t="n">
        <f aca="false">V94+V77+V50</f>
        <v>0</v>
      </c>
      <c r="W108" s="480" t="n">
        <f aca="false">W94+W77+W50</f>
        <v>0</v>
      </c>
      <c r="X108" s="480" t="n">
        <f aca="false">X94+X77+X50</f>
        <v>0</v>
      </c>
      <c r="Y108" s="480" t="n">
        <f aca="false">Y94+Y77+Y50</f>
        <v>0</v>
      </c>
      <c r="Z108" s="480" t="n">
        <f aca="false">Z94+Z77+Z50</f>
        <v>0</v>
      </c>
      <c r="AA108" s="480" t="n">
        <f aca="false">AA94+AA77+AA50</f>
        <v>0</v>
      </c>
      <c r="AB108" s="480" t="n">
        <f aca="false">AB94+AB77+AB50</f>
        <v>0</v>
      </c>
      <c r="AC108" s="480" t="n">
        <f aca="false">AC94+AC77+AC50</f>
        <v>0</v>
      </c>
      <c r="AD108" s="480" t="n">
        <f aca="false">AD94+AD77+AD50</f>
        <v>0</v>
      </c>
      <c r="AE108" s="480" t="n">
        <f aca="false">AE94+AE77+AE50</f>
        <v>0</v>
      </c>
      <c r="AF108" s="480" t="n">
        <f aca="false">AF94+AF77+AF50</f>
        <v>0</v>
      </c>
      <c r="AG108" s="480"/>
      <c r="AH108" s="480"/>
      <c r="AI108" s="480"/>
      <c r="AJ108" s="480"/>
      <c r="AK108" s="480"/>
      <c r="AL108" s="480"/>
      <c r="AM108" s="480"/>
    </row>
    <row r="109" customFormat="false" ht="12.75" hidden="false" customHeight="false" outlineLevel="0" collapsed="false">
      <c r="A109" s="487"/>
      <c r="B109" s="487"/>
      <c r="C109" s="487"/>
      <c r="D109" s="487"/>
      <c r="E109" s="487"/>
      <c r="F109" s="0"/>
      <c r="G109" s="487"/>
      <c r="H109" s="487"/>
      <c r="I109" s="487"/>
      <c r="J109" s="487"/>
      <c r="K109" s="487"/>
      <c r="L109" s="487"/>
      <c r="M109" s="487"/>
      <c r="N109" s="487"/>
      <c r="O109" s="487"/>
      <c r="P109" s="487"/>
      <c r="Q109" s="487"/>
      <c r="R109" s="487"/>
      <c r="S109" s="487"/>
      <c r="T109" s="487"/>
      <c r="U109" s="487"/>
      <c r="V109" s="487"/>
      <c r="W109" s="487"/>
      <c r="X109" s="487"/>
      <c r="Y109" s="487"/>
      <c r="Z109" s="487"/>
      <c r="AA109" s="487"/>
      <c r="AB109" s="487"/>
      <c r="AC109" s="487"/>
      <c r="AD109" s="487"/>
      <c r="AE109" s="487"/>
      <c r="AF109" s="487"/>
      <c r="AG109" s="487"/>
      <c r="AH109" s="487"/>
      <c r="AI109" s="487"/>
      <c r="AJ109" s="487"/>
      <c r="AK109" s="487"/>
      <c r="AL109" s="487"/>
      <c r="AM109" s="487"/>
    </row>
    <row r="110" customFormat="false" ht="12.75" hidden="false" customHeight="false" outlineLevel="0" collapsed="false">
      <c r="A110" s="490" t="s">
        <v>369</v>
      </c>
      <c r="B110" s="491" t="str">
        <f aca="false">IF(B104&gt;0,B97/B104," ")</f>
        <v> </v>
      </c>
      <c r="C110" s="491" t="n">
        <f aca="false">IF(C104&gt;0,C97/C104," ")</f>
        <v>1.7146977802153</v>
      </c>
      <c r="D110" s="491" t="n">
        <f aca="false">IF(D104&gt;0,D97/D104," ")</f>
        <v>1.27226630004003</v>
      </c>
      <c r="E110" s="491" t="n">
        <f aca="false">IF(E104&gt;0,E97/E104," ")</f>
        <v>1.27226630004003</v>
      </c>
      <c r="F110" s="491" t="n">
        <f aca="false">IF(F104&gt;0,F97/F104," ")</f>
        <v>1.27226630004003</v>
      </c>
      <c r="G110" s="491" t="n">
        <f aca="false">IF(G104&gt;0,G97/G104," ")</f>
        <v>1.27226630004003</v>
      </c>
      <c r="H110" s="491" t="n">
        <f aca="false">IF(H104&gt;0,H97/H104," ")</f>
        <v>1.27226630004003</v>
      </c>
      <c r="I110" s="491" t="n">
        <f aca="false">IF(I104&gt;0,I97/I104," ")</f>
        <v>1.27226630004003</v>
      </c>
      <c r="J110" s="491" t="n">
        <f aca="false">IF(J104&gt;0,J97/J104," ")</f>
        <v>1.27226630004003</v>
      </c>
      <c r="K110" s="491" t="n">
        <f aca="false">IF(K104&gt;0,K97/K104," ")</f>
        <v>1.27226630004003</v>
      </c>
      <c r="L110" s="491" t="n">
        <f aca="false">IF(L104&gt;0,L97/L104," ")</f>
        <v>1.27226630004003</v>
      </c>
      <c r="M110" s="491" t="n">
        <f aca="false">IF(M104&gt;0,M97/M104," ")</f>
        <v>1.27226630004003</v>
      </c>
      <c r="N110" s="491" t="n">
        <f aca="false">IF(N104&gt;0,N97/N104," ")</f>
        <v>1.27226630004003</v>
      </c>
      <c r="O110" s="491" t="n">
        <f aca="false">IF(O104&gt;0,O97/O104," ")</f>
        <v>1.27226630004003</v>
      </c>
      <c r="P110" s="491" t="n">
        <f aca="false">IF(P104&gt;0,P97/P104," ")</f>
        <v>1.27226630004003</v>
      </c>
      <c r="Q110" s="491" t="n">
        <f aca="false">IF(Q104&gt;0,Q97/Q104," ")</f>
        <v>1.27226630004003</v>
      </c>
      <c r="R110" s="491" t="n">
        <f aca="false">IF(R104&gt;0,R97/R104," ")</f>
        <v>1.27226630004003</v>
      </c>
      <c r="S110" s="491" t="n">
        <f aca="false">IF(S104&gt;0,S97/S104," ")</f>
        <v>1.27226630004003</v>
      </c>
      <c r="T110" s="491" t="n">
        <f aca="false">IF(T104&gt;0,T97/T104," ")</f>
        <v>2.33298008652487</v>
      </c>
      <c r="U110" s="491" t="str">
        <f aca="false">IF(U104&gt;1,U97/U104," ")</f>
        <v> </v>
      </c>
      <c r="V110" s="491" t="str">
        <f aca="false">IF(V104&gt;1,V97/V104," ")</f>
        <v> </v>
      </c>
      <c r="W110" s="492" t="str">
        <f aca="false">IF(W104&gt;1,W97/W104," ")</f>
        <v> </v>
      </c>
      <c r="X110" s="492" t="str">
        <f aca="false">IF(X104&gt;1,X97/X104," ")</f>
        <v> </v>
      </c>
      <c r="Y110" s="492" t="str">
        <f aca="false">IF(Y104&gt;1,Y97/Y104," ")</f>
        <v> </v>
      </c>
      <c r="Z110" s="492" t="str">
        <f aca="false">IF(Z104&gt;1,Z97/Z104," ")</f>
        <v> </v>
      </c>
      <c r="AA110" s="492" t="str">
        <f aca="false">IF(AA104&gt;1,AA97/AA104," ")</f>
        <v> </v>
      </c>
      <c r="AB110" s="492" t="str">
        <f aca="false">IF(AB104&gt;1,AB97/AB104," ")</f>
        <v> </v>
      </c>
      <c r="AC110" s="492" t="str">
        <f aca="false">IF(AC104&gt;1,AC97/AC104," ")</f>
        <v> </v>
      </c>
      <c r="AD110" s="492" t="str">
        <f aca="false">IF(AD104&gt;1,AD97/AD104," ")</f>
        <v> </v>
      </c>
      <c r="AE110" s="492" t="str">
        <f aca="false">IF(AE104&gt;1,AE97/AE104," ")</f>
        <v> </v>
      </c>
      <c r="AF110" s="492" t="str">
        <f aca="false">IF(AF104&gt;1,AF97/AF104," ")</f>
        <v> </v>
      </c>
      <c r="AG110" s="465"/>
      <c r="AH110" s="465"/>
      <c r="AI110" s="465"/>
      <c r="AJ110" s="465"/>
      <c r="AK110" s="465"/>
      <c r="AL110" s="465"/>
      <c r="AM110" s="465"/>
    </row>
    <row r="111" customFormat="false" ht="12.75" hidden="false" customHeight="false" outlineLevel="0" collapsed="false">
      <c r="A111" s="493"/>
      <c r="B111" s="494"/>
      <c r="C111" s="494"/>
      <c r="D111" s="494"/>
      <c r="E111" s="494"/>
      <c r="F111" s="39"/>
      <c r="G111" s="39"/>
      <c r="H111" s="39"/>
      <c r="I111" s="39"/>
      <c r="J111" s="39"/>
      <c r="K111" s="39"/>
      <c r="L111" s="39"/>
      <c r="M111" s="39"/>
      <c r="N111" s="39"/>
      <c r="O111" s="39"/>
      <c r="P111" s="39"/>
      <c r="Q111" s="39"/>
      <c r="R111" s="39"/>
      <c r="S111" s="39"/>
      <c r="T111" s="39"/>
      <c r="U111" s="39"/>
      <c r="V111" s="39"/>
      <c r="W111" s="0"/>
      <c r="X111" s="0"/>
      <c r="Y111" s="0"/>
      <c r="Z111" s="0"/>
      <c r="AA111" s="0"/>
      <c r="AB111" s="0"/>
      <c r="AC111" s="0"/>
      <c r="AD111" s="0"/>
      <c r="AE111" s="0"/>
      <c r="AF111" s="0"/>
      <c r="AG111" s="465"/>
      <c r="AH111" s="465"/>
      <c r="AI111" s="465"/>
      <c r="AJ111" s="465"/>
      <c r="AK111" s="465"/>
      <c r="AL111" s="465"/>
      <c r="AM111" s="465"/>
    </row>
    <row r="112" customFormat="false" ht="12.75" hidden="false" customHeight="false" outlineLevel="0" collapsed="false">
      <c r="A112" s="493"/>
      <c r="B112" s="495"/>
      <c r="C112" s="495"/>
      <c r="D112" s="495"/>
      <c r="E112" s="495"/>
      <c r="F112" s="495"/>
      <c r="G112" s="495"/>
      <c r="H112" s="495"/>
      <c r="I112" s="495"/>
      <c r="J112" s="495"/>
      <c r="K112" s="495"/>
      <c r="L112" s="495"/>
      <c r="M112" s="495"/>
      <c r="N112" s="495"/>
      <c r="O112" s="495"/>
      <c r="P112" s="495"/>
      <c r="Q112" s="495"/>
      <c r="R112" s="495"/>
      <c r="S112" s="495"/>
      <c r="T112" s="495"/>
      <c r="U112" s="495"/>
      <c r="V112" s="495"/>
      <c r="W112" s="0"/>
      <c r="X112" s="0"/>
      <c r="Y112" s="0"/>
      <c r="Z112" s="0"/>
      <c r="AA112" s="0"/>
      <c r="AB112" s="0"/>
      <c r="AC112" s="0"/>
      <c r="AD112" s="0"/>
      <c r="AE112" s="0"/>
      <c r="AF112" s="0"/>
      <c r="AG112" s="465"/>
      <c r="AH112" s="465"/>
      <c r="AI112" s="465"/>
      <c r="AJ112" s="465"/>
      <c r="AK112" s="465"/>
      <c r="AL112" s="465"/>
      <c r="AM112" s="465"/>
    </row>
    <row r="113" customFormat="false" ht="12.75" hidden="false" customHeight="false" outlineLevel="0" collapsed="false">
      <c r="A113" s="436" t="s">
        <v>370</v>
      </c>
      <c r="B113" s="496" t="n">
        <f aca="false">AVERAGE(C110:W110)</f>
        <v>1.35577437041003</v>
      </c>
      <c r="C113" s="0"/>
      <c r="F113" s="465"/>
      <c r="G113" s="0"/>
      <c r="H113" s="0"/>
      <c r="I113" s="0"/>
      <c r="J113" s="0"/>
      <c r="K113" s="465"/>
      <c r="L113" s="465"/>
      <c r="M113" s="497"/>
      <c r="N113" s="465"/>
      <c r="O113" s="465"/>
      <c r="P113" s="157"/>
      <c r="Q113" s="157"/>
      <c r="R113" s="157"/>
      <c r="S113" s="465"/>
      <c r="T113" s="465"/>
      <c r="U113" s="465"/>
      <c r="V113" s="465"/>
      <c r="W113" s="0"/>
      <c r="X113" s="0"/>
      <c r="Y113" s="0"/>
      <c r="Z113" s="0"/>
      <c r="AA113" s="0"/>
      <c r="AB113" s="0"/>
      <c r="AC113" s="0"/>
      <c r="AD113" s="0"/>
      <c r="AE113" s="0"/>
      <c r="AF113" s="0"/>
      <c r="AG113" s="465"/>
      <c r="AH113" s="465"/>
      <c r="AI113" s="465"/>
      <c r="AJ113" s="465"/>
      <c r="AK113" s="465"/>
      <c r="AL113" s="465"/>
      <c r="AM113" s="465"/>
    </row>
    <row r="114" customFormat="false" ht="12.75" hidden="false" customHeight="false" outlineLevel="0" collapsed="false">
      <c r="A114" s="441" t="s">
        <v>371</v>
      </c>
      <c r="B114" s="498" t="n">
        <f aca="false">MIN(B110:W110)</f>
        <v>1.27226630004003</v>
      </c>
      <c r="C114" s="0"/>
      <c r="F114" s="493"/>
      <c r="G114" s="0"/>
      <c r="H114" s="0"/>
      <c r="I114" s="0"/>
      <c r="J114" s="0"/>
      <c r="K114" s="493"/>
      <c r="L114" s="493"/>
      <c r="M114" s="493"/>
      <c r="N114" s="493"/>
      <c r="O114" s="493"/>
      <c r="P114" s="157"/>
      <c r="Q114" s="157"/>
      <c r="R114" s="157"/>
      <c r="S114" s="465"/>
      <c r="T114" s="465"/>
      <c r="U114" s="465"/>
      <c r="V114" s="465"/>
      <c r="W114" s="0"/>
      <c r="X114" s="0"/>
      <c r="Y114" s="0"/>
      <c r="Z114" s="0"/>
      <c r="AA114" s="0"/>
      <c r="AB114" s="0"/>
      <c r="AC114" s="0"/>
      <c r="AD114" s="0"/>
      <c r="AE114" s="0"/>
      <c r="AF114" s="0"/>
      <c r="AG114" s="465"/>
      <c r="AH114" s="465"/>
      <c r="AI114" s="465"/>
      <c r="AJ114" s="465"/>
      <c r="AK114" s="465"/>
      <c r="AL114" s="465"/>
      <c r="AM114" s="465"/>
    </row>
    <row r="117" customFormat="false" ht="13.5" hidden="false" customHeight="false" outlineLevel="0" collapsed="false">
      <c r="A117" s="36"/>
      <c r="B117" s="36"/>
      <c r="C117" s="36"/>
      <c r="D117" s="36"/>
      <c r="E117" s="36"/>
      <c r="F117" s="36"/>
      <c r="G117" s="36"/>
      <c r="H117" s="36"/>
      <c r="I117" s="36"/>
      <c r="J117" s="36"/>
      <c r="K117" s="36"/>
      <c r="L117" s="36"/>
      <c r="M117" s="36"/>
      <c r="N117" s="36"/>
      <c r="O117" s="36"/>
      <c r="P117" s="36"/>
      <c r="Q117" s="36"/>
      <c r="R117" s="36"/>
      <c r="S117" s="36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  <c r="AF117" s="36"/>
    </row>
    <row r="119" customFormat="false" ht="12.75" hidden="false" customHeight="false" outlineLevel="0" collapsed="false">
      <c r="A119" s="410" t="s">
        <v>372</v>
      </c>
      <c r="B119" s="499" t="n">
        <v>2</v>
      </c>
    </row>
    <row r="120" customFormat="false" ht="12.75" hidden="false" customHeight="false" outlineLevel="0" collapsed="false">
      <c r="A120" s="500" t="s">
        <v>169</v>
      </c>
      <c r="C120" s="170"/>
      <c r="D120" s="170"/>
      <c r="E120" s="170"/>
      <c r="F120" s="170"/>
      <c r="G120" s="170"/>
      <c r="H120" s="170"/>
      <c r="I120" s="170"/>
      <c r="J120" s="170"/>
      <c r="K120" s="170"/>
      <c r="L120" s="170"/>
      <c r="M120" s="170"/>
      <c r="N120" s="170"/>
      <c r="O120" s="170"/>
      <c r="P120" s="170"/>
      <c r="Q120" s="170"/>
      <c r="R120" s="170"/>
      <c r="S120" s="170"/>
      <c r="T120" s="170"/>
      <c r="U120" s="170"/>
      <c r="V120" s="170"/>
      <c r="W120" s="170"/>
      <c r="X120" s="170"/>
      <c r="Y120" s="170"/>
      <c r="Z120" s="170"/>
      <c r="AA120" s="170"/>
      <c r="AB120" s="170"/>
      <c r="AC120" s="170"/>
      <c r="AD120" s="170"/>
      <c r="AE120" s="170"/>
      <c r="AF120" s="170"/>
    </row>
    <row r="121" customFormat="false" ht="12.75" hidden="false" customHeight="false" outlineLevel="0" collapsed="false">
      <c r="A121" s="501" t="s">
        <v>239</v>
      </c>
      <c r="B121" s="502" t="n">
        <v>0.03</v>
      </c>
      <c r="C121" s="502" t="n">
        <v>0.03</v>
      </c>
      <c r="D121" s="502" t="n">
        <v>0.03</v>
      </c>
      <c r="E121" s="502" t="n">
        <v>0.03</v>
      </c>
      <c r="F121" s="502" t="n">
        <v>0.03</v>
      </c>
      <c r="G121" s="502" t="n">
        <v>0.03</v>
      </c>
      <c r="H121" s="502" t="n">
        <v>0.03</v>
      </c>
      <c r="I121" s="502" t="n">
        <v>0.03</v>
      </c>
      <c r="J121" s="502" t="n">
        <v>0.03</v>
      </c>
      <c r="K121" s="502" t="n">
        <v>0.03</v>
      </c>
      <c r="L121" s="502" t="n">
        <v>0.03</v>
      </c>
      <c r="M121" s="502" t="n">
        <v>0.03</v>
      </c>
      <c r="N121" s="502" t="n">
        <v>0.03</v>
      </c>
      <c r="O121" s="502" t="n">
        <v>0.03</v>
      </c>
      <c r="P121" s="502" t="n">
        <v>0.03</v>
      </c>
      <c r="Q121" s="502" t="n">
        <v>0.03</v>
      </c>
      <c r="R121" s="502" t="n">
        <v>0.03</v>
      </c>
      <c r="S121" s="502" t="n">
        <v>0.03</v>
      </c>
      <c r="T121" s="502" t="n">
        <v>0.03</v>
      </c>
      <c r="U121" s="502" t="n">
        <v>0.03</v>
      </c>
      <c r="V121" s="502" t="n">
        <v>0.03</v>
      </c>
      <c r="W121" s="502" t="n">
        <f aca="false">1-SUM(B121:V121)</f>
        <v>0.37</v>
      </c>
      <c r="X121" s="502" t="n">
        <f aca="false">1-SUM(C121:W121)</f>
        <v>0.03</v>
      </c>
      <c r="Y121" s="502" t="n">
        <f aca="false">1-SUM(D121:X121)</f>
        <v>0.03</v>
      </c>
      <c r="Z121" s="502" t="n">
        <f aca="false">1-SUM(E121:Y121)</f>
        <v>0.03</v>
      </c>
      <c r="AA121" s="502" t="n">
        <f aca="false">1-SUM(F121:Z121)</f>
        <v>0.0299999999999999</v>
      </c>
      <c r="AB121" s="502" t="n">
        <f aca="false">1-SUM(G121:AA121)</f>
        <v>0.03</v>
      </c>
      <c r="AC121" s="502" t="n">
        <f aca="false">1-SUM(H121:AB121)</f>
        <v>0.03</v>
      </c>
      <c r="AD121" s="502" t="n">
        <f aca="false">1-SUM(I121:AC121)</f>
        <v>0.03</v>
      </c>
      <c r="AE121" s="502" t="n">
        <f aca="false">1-SUM(J121:AD121)</f>
        <v>0.0299999999999999</v>
      </c>
      <c r="AF121" s="502" t="n">
        <f aca="false">1-SUM(K121:AE121)</f>
        <v>0.03</v>
      </c>
    </row>
    <row r="122" customFormat="false" ht="12.75" hidden="false" customHeight="false" outlineLevel="0" collapsed="false">
      <c r="A122" s="501" t="s">
        <v>373</v>
      </c>
      <c r="B122" s="502" t="n">
        <f aca="false">100%/20</f>
        <v>0.05</v>
      </c>
      <c r="C122" s="502" t="n">
        <f aca="false">100%/20</f>
        <v>0.05</v>
      </c>
      <c r="D122" s="502" t="n">
        <f aca="false">100%/20</f>
        <v>0.05</v>
      </c>
      <c r="E122" s="502" t="n">
        <f aca="false">100%/20</f>
        <v>0.05</v>
      </c>
      <c r="F122" s="502" t="n">
        <f aca="false">100%/20</f>
        <v>0.05</v>
      </c>
      <c r="G122" s="502" t="n">
        <f aca="false">100%/20</f>
        <v>0.05</v>
      </c>
      <c r="H122" s="502" t="n">
        <f aca="false">100%/20</f>
        <v>0.05</v>
      </c>
      <c r="I122" s="502" t="n">
        <f aca="false">100%/20</f>
        <v>0.05</v>
      </c>
      <c r="J122" s="502" t="n">
        <f aca="false">100%/20</f>
        <v>0.05</v>
      </c>
      <c r="K122" s="502" t="n">
        <f aca="false">100%/20</f>
        <v>0.05</v>
      </c>
      <c r="L122" s="502" t="n">
        <f aca="false">100%/20</f>
        <v>0.05</v>
      </c>
      <c r="M122" s="502" t="n">
        <f aca="false">100%/20</f>
        <v>0.05</v>
      </c>
      <c r="N122" s="502" t="n">
        <f aca="false">100%/20</f>
        <v>0.05</v>
      </c>
      <c r="O122" s="502" t="n">
        <f aca="false">100%/20</f>
        <v>0.05</v>
      </c>
      <c r="P122" s="502" t="n">
        <f aca="false">100%/20</f>
        <v>0.05</v>
      </c>
      <c r="Q122" s="503" t="n">
        <f aca="false">100%/20</f>
        <v>0.05</v>
      </c>
      <c r="R122" s="503" t="n">
        <f aca="false">100%/20</f>
        <v>0.05</v>
      </c>
      <c r="S122" s="503" t="n">
        <f aca="false">100%/20</f>
        <v>0.05</v>
      </c>
      <c r="T122" s="503" t="n">
        <f aca="false">100%/20</f>
        <v>0.05</v>
      </c>
      <c r="U122" s="503" t="n">
        <f aca="false">100%/20</f>
        <v>0.05</v>
      </c>
      <c r="V122" s="503" t="n">
        <v>0</v>
      </c>
      <c r="W122" s="503" t="n">
        <v>0</v>
      </c>
      <c r="X122" s="503" t="n">
        <v>0</v>
      </c>
      <c r="Y122" s="503" t="n">
        <v>0</v>
      </c>
      <c r="Z122" s="503" t="n">
        <v>0</v>
      </c>
      <c r="AA122" s="503" t="n">
        <v>0</v>
      </c>
      <c r="AB122" s="503" t="n">
        <v>0</v>
      </c>
      <c r="AC122" s="503" t="n">
        <v>0</v>
      </c>
      <c r="AD122" s="503" t="n">
        <v>0</v>
      </c>
      <c r="AE122" s="503" t="n">
        <v>0</v>
      </c>
      <c r="AF122" s="503" t="n">
        <v>0</v>
      </c>
    </row>
    <row r="123" customFormat="false" ht="12.75" hidden="false" customHeight="false" outlineLevel="0" collapsed="false">
      <c r="A123" s="501" t="s">
        <v>374</v>
      </c>
      <c r="B123" s="504" t="n">
        <f aca="false">CHOOSE($B$119,B121,B122)</f>
        <v>0.05</v>
      </c>
      <c r="C123" s="504" t="n">
        <f aca="false">CHOOSE($B$119,C121,C122)</f>
        <v>0.05</v>
      </c>
      <c r="D123" s="504" t="n">
        <f aca="false">CHOOSE($B$119,D121,D122)</f>
        <v>0.05</v>
      </c>
      <c r="E123" s="504" t="n">
        <f aca="false">CHOOSE($B$119,E121,E122)</f>
        <v>0.05</v>
      </c>
      <c r="F123" s="504" t="n">
        <f aca="false">CHOOSE($B$119,F121,F122)</f>
        <v>0.05</v>
      </c>
      <c r="G123" s="504" t="n">
        <f aca="false">CHOOSE($B$119,G121,G122)</f>
        <v>0.05</v>
      </c>
      <c r="H123" s="504" t="n">
        <f aca="false">CHOOSE($B$119,H121,H122)</f>
        <v>0.05</v>
      </c>
      <c r="I123" s="504" t="n">
        <f aca="false">CHOOSE($B$119,I121,I122)</f>
        <v>0.05</v>
      </c>
      <c r="J123" s="504" t="n">
        <f aca="false">CHOOSE($B$119,J121,J122)</f>
        <v>0.05</v>
      </c>
      <c r="K123" s="504" t="n">
        <f aca="false">CHOOSE($B$119,K121,K122)</f>
        <v>0.05</v>
      </c>
      <c r="L123" s="504" t="n">
        <f aca="false">CHOOSE($B$119,L121,L122)</f>
        <v>0.05</v>
      </c>
      <c r="M123" s="504" t="n">
        <f aca="false">CHOOSE($B$119,M121,M122)</f>
        <v>0.05</v>
      </c>
      <c r="N123" s="504" t="n">
        <f aca="false">CHOOSE($B$119,N121,N122)</f>
        <v>0.05</v>
      </c>
      <c r="O123" s="504" t="n">
        <f aca="false">CHOOSE($B$119,O121,O122)</f>
        <v>0.05</v>
      </c>
      <c r="P123" s="504" t="n">
        <f aca="false">CHOOSE($B$119,P121,P122)</f>
        <v>0.05</v>
      </c>
      <c r="Q123" s="504" t="n">
        <f aca="false">CHOOSE($B$119,Q121,Q122)</f>
        <v>0.05</v>
      </c>
      <c r="R123" s="504" t="n">
        <f aca="false">CHOOSE($B$119,R121,R122)</f>
        <v>0.05</v>
      </c>
      <c r="S123" s="504" t="n">
        <f aca="false">CHOOSE($B$119,S121,S122)</f>
        <v>0.05</v>
      </c>
      <c r="T123" s="504" t="n">
        <f aca="false">CHOOSE($B$119,T121,T122)</f>
        <v>0.05</v>
      </c>
      <c r="U123" s="504" t="n">
        <f aca="false">CHOOSE($B$119,U121,U122)</f>
        <v>0.05</v>
      </c>
      <c r="V123" s="504" t="n">
        <f aca="false">CHOOSE($B$119,V121,V122)</f>
        <v>0</v>
      </c>
      <c r="W123" s="504" t="n">
        <f aca="false">CHOOSE($B$119,W121,W122)</f>
        <v>0</v>
      </c>
      <c r="X123" s="504" t="n">
        <f aca="false">CHOOSE($B$119,X121,X122)</f>
        <v>0</v>
      </c>
      <c r="Y123" s="504" t="n">
        <f aca="false">CHOOSE($B$119,Y121,Y122)</f>
        <v>0</v>
      </c>
      <c r="Z123" s="504" t="n">
        <f aca="false">CHOOSE($B$119,Z121,Z122)</f>
        <v>0</v>
      </c>
      <c r="AA123" s="504" t="n">
        <f aca="false">CHOOSE($B$119,AA121,AA122)</f>
        <v>0</v>
      </c>
      <c r="AB123" s="504" t="n">
        <f aca="false">CHOOSE($B$119,AB121,AB122)</f>
        <v>0</v>
      </c>
      <c r="AC123" s="504" t="n">
        <f aca="false">CHOOSE($B$119,AC121,AC122)</f>
        <v>0</v>
      </c>
      <c r="AD123" s="504" t="n">
        <f aca="false">CHOOSE($B$119,AD121,AD122)</f>
        <v>0</v>
      </c>
      <c r="AE123" s="504" t="n">
        <f aca="false">CHOOSE($B$119,AE121,AE122)</f>
        <v>0</v>
      </c>
      <c r="AF123" s="504" t="n">
        <f aca="false">CHOOSE($B$119,AF121,AF122)</f>
        <v>0</v>
      </c>
    </row>
    <row r="124" customFormat="false" ht="12.75" hidden="false" customHeight="false" outlineLevel="0" collapsed="false">
      <c r="B124" s="471"/>
      <c r="C124" s="471"/>
      <c r="D124" s="471"/>
      <c r="E124" s="471"/>
      <c r="F124" s="471"/>
      <c r="G124" s="471"/>
      <c r="H124" s="471"/>
      <c r="I124" s="471"/>
      <c r="J124" s="471"/>
      <c r="K124" s="471"/>
      <c r="L124" s="471"/>
      <c r="M124" s="471"/>
      <c r="N124" s="471"/>
      <c r="O124" s="471"/>
      <c r="P124" s="471"/>
      <c r="Q124" s="471"/>
      <c r="R124" s="471"/>
      <c r="S124" s="471"/>
      <c r="T124" s="471"/>
      <c r="U124" s="471"/>
      <c r="V124" s="471"/>
      <c r="W124" s="471"/>
      <c r="X124" s="471"/>
      <c r="Y124" s="471"/>
      <c r="Z124" s="471"/>
      <c r="AA124" s="471"/>
      <c r="AB124" s="471"/>
      <c r="AC124" s="471"/>
      <c r="AD124" s="471"/>
      <c r="AE124" s="471"/>
      <c r="AF124" s="471"/>
    </row>
    <row r="125" customFormat="false" ht="12.75" hidden="false" customHeight="false" outlineLevel="0" collapsed="false">
      <c r="A125" s="500" t="s">
        <v>170</v>
      </c>
      <c r="B125" s="505"/>
      <c r="C125" s="505"/>
      <c r="D125" s="505"/>
      <c r="E125" s="505"/>
      <c r="F125" s="505"/>
      <c r="G125" s="505"/>
      <c r="H125" s="505"/>
      <c r="I125" s="505"/>
      <c r="J125" s="505"/>
      <c r="K125" s="505"/>
      <c r="L125" s="505"/>
      <c r="M125" s="505"/>
      <c r="N125" s="505"/>
      <c r="O125" s="505"/>
      <c r="P125" s="505"/>
      <c r="Q125" s="505"/>
      <c r="R125" s="505"/>
      <c r="S125" s="505"/>
      <c r="T125" s="505"/>
      <c r="U125" s="505"/>
      <c r="V125" s="505"/>
      <c r="W125" s="505"/>
      <c r="X125" s="505"/>
      <c r="Y125" s="505"/>
      <c r="Z125" s="505"/>
      <c r="AA125" s="505"/>
      <c r="AB125" s="505"/>
      <c r="AC125" s="505"/>
      <c r="AD125" s="505"/>
      <c r="AE125" s="505"/>
      <c r="AF125" s="505"/>
    </row>
    <row r="126" customFormat="false" ht="12.75" hidden="false" customHeight="false" outlineLevel="0" collapsed="false">
      <c r="A126" s="501" t="s">
        <v>239</v>
      </c>
      <c r="B126" s="502" t="n">
        <v>0.03</v>
      </c>
      <c r="C126" s="502" t="n">
        <v>0.03</v>
      </c>
      <c r="D126" s="502" t="n">
        <v>0.03</v>
      </c>
      <c r="E126" s="502" t="n">
        <v>0.03</v>
      </c>
      <c r="F126" s="502" t="n">
        <v>0.03</v>
      </c>
      <c r="G126" s="502" t="n">
        <v>0.03</v>
      </c>
      <c r="H126" s="502" t="n">
        <v>0.03</v>
      </c>
      <c r="I126" s="502" t="n">
        <v>0.03</v>
      </c>
      <c r="J126" s="502" t="n">
        <v>0.03</v>
      </c>
      <c r="K126" s="502" t="n">
        <v>0.03</v>
      </c>
      <c r="L126" s="502" t="n">
        <v>0.03</v>
      </c>
      <c r="M126" s="502" t="n">
        <v>0.03</v>
      </c>
      <c r="N126" s="502" t="n">
        <v>0.03</v>
      </c>
      <c r="O126" s="502" t="n">
        <v>0.03</v>
      </c>
      <c r="P126" s="502" t="n">
        <v>0.03</v>
      </c>
      <c r="Q126" s="502" t="n">
        <v>0.03</v>
      </c>
      <c r="R126" s="502" t="n">
        <v>0.03</v>
      </c>
      <c r="S126" s="502" t="n">
        <v>0.03</v>
      </c>
      <c r="T126" s="502" t="n">
        <v>0.03</v>
      </c>
      <c r="U126" s="502" t="n">
        <v>0.03</v>
      </c>
      <c r="V126" s="502" t="n">
        <v>0.03</v>
      </c>
      <c r="W126" s="502" t="n">
        <f aca="false">1-SUM(B126:V126)</f>
        <v>0.37</v>
      </c>
      <c r="X126" s="502" t="n">
        <f aca="false">1-SUM(C126:W126)</f>
        <v>0.03</v>
      </c>
      <c r="Y126" s="502" t="n">
        <f aca="false">1-SUM(D126:X126)</f>
        <v>0.03</v>
      </c>
      <c r="Z126" s="502" t="n">
        <f aca="false">1-SUM(E126:Y126)</f>
        <v>0.03</v>
      </c>
      <c r="AA126" s="502" t="n">
        <f aca="false">1-SUM(F126:Z126)</f>
        <v>0.0299999999999999</v>
      </c>
      <c r="AB126" s="502" t="n">
        <f aca="false">1-SUM(G126:AA126)</f>
        <v>0.03</v>
      </c>
      <c r="AC126" s="502" t="n">
        <f aca="false">1-SUM(H126:AB126)</f>
        <v>0.03</v>
      </c>
      <c r="AD126" s="502" t="n">
        <f aca="false">1-SUM(I126:AC126)</f>
        <v>0.03</v>
      </c>
      <c r="AE126" s="502" t="n">
        <f aca="false">1-SUM(J126:AD126)</f>
        <v>0.0299999999999999</v>
      </c>
      <c r="AF126" s="502" t="n">
        <f aca="false">1-SUM(K126:AE126)</f>
        <v>0.03</v>
      </c>
    </row>
    <row r="127" customFormat="false" ht="12.75" hidden="false" customHeight="false" outlineLevel="0" collapsed="false">
      <c r="A127" s="501" t="s">
        <v>373</v>
      </c>
      <c r="B127" s="502" t="n">
        <f aca="false">100%/20</f>
        <v>0.05</v>
      </c>
      <c r="C127" s="502" t="n">
        <f aca="false">100%/20</f>
        <v>0.05</v>
      </c>
      <c r="D127" s="502" t="n">
        <f aca="false">100%/20</f>
        <v>0.05</v>
      </c>
      <c r="E127" s="502" t="n">
        <f aca="false">100%/20</f>
        <v>0.05</v>
      </c>
      <c r="F127" s="502" t="n">
        <f aca="false">100%/20</f>
        <v>0.05</v>
      </c>
      <c r="G127" s="502" t="n">
        <f aca="false">100%/20</f>
        <v>0.05</v>
      </c>
      <c r="H127" s="502" t="n">
        <f aca="false">100%/20</f>
        <v>0.05</v>
      </c>
      <c r="I127" s="502" t="n">
        <f aca="false">100%/20</f>
        <v>0.05</v>
      </c>
      <c r="J127" s="502" t="n">
        <f aca="false">100%/20</f>
        <v>0.05</v>
      </c>
      <c r="K127" s="502" t="n">
        <f aca="false">100%/20</f>
        <v>0.05</v>
      </c>
      <c r="L127" s="502" t="n">
        <f aca="false">100%/20</f>
        <v>0.05</v>
      </c>
      <c r="M127" s="502" t="n">
        <f aca="false">100%/20</f>
        <v>0.05</v>
      </c>
      <c r="N127" s="502" t="n">
        <f aca="false">100%/20</f>
        <v>0.05</v>
      </c>
      <c r="O127" s="502" t="n">
        <f aca="false">100%/20</f>
        <v>0.05</v>
      </c>
      <c r="P127" s="502" t="n">
        <f aca="false">100%/20</f>
        <v>0.05</v>
      </c>
      <c r="Q127" s="503" t="n">
        <f aca="false">100%/20</f>
        <v>0.05</v>
      </c>
      <c r="R127" s="503" t="n">
        <f aca="false">100%/20</f>
        <v>0.05</v>
      </c>
      <c r="S127" s="503" t="n">
        <f aca="false">100%/20</f>
        <v>0.05</v>
      </c>
      <c r="T127" s="503" t="n">
        <f aca="false">100%/20</f>
        <v>0.05</v>
      </c>
      <c r="U127" s="503" t="n">
        <f aca="false">100%/20</f>
        <v>0.05</v>
      </c>
      <c r="V127" s="503" t="n">
        <v>0</v>
      </c>
      <c r="W127" s="503" t="n">
        <v>0</v>
      </c>
      <c r="X127" s="503" t="n">
        <v>0</v>
      </c>
      <c r="Y127" s="503" t="n">
        <v>0</v>
      </c>
      <c r="Z127" s="503" t="n">
        <v>0</v>
      </c>
      <c r="AA127" s="503" t="n">
        <v>0</v>
      </c>
      <c r="AB127" s="503" t="n">
        <v>0</v>
      </c>
      <c r="AC127" s="503" t="n">
        <v>0</v>
      </c>
      <c r="AD127" s="503" t="n">
        <v>0</v>
      </c>
      <c r="AE127" s="503" t="n">
        <v>0</v>
      </c>
      <c r="AF127" s="503" t="n">
        <v>0</v>
      </c>
    </row>
    <row r="128" customFormat="false" ht="12.75" hidden="false" customHeight="false" outlineLevel="0" collapsed="false">
      <c r="A128" s="501" t="s">
        <v>374</v>
      </c>
      <c r="B128" s="504" t="n">
        <f aca="false">CHOOSE($B$119,B126,B127)</f>
        <v>0.05</v>
      </c>
      <c r="C128" s="504" t="n">
        <f aca="false">CHOOSE($B$119,C126,C127)</f>
        <v>0.05</v>
      </c>
      <c r="D128" s="504" t="n">
        <f aca="false">CHOOSE($B$119,D126,D127)</f>
        <v>0.05</v>
      </c>
      <c r="E128" s="504" t="n">
        <f aca="false">CHOOSE($B$119,E126,E127)</f>
        <v>0.05</v>
      </c>
      <c r="F128" s="504" t="n">
        <f aca="false">CHOOSE($B$119,F126,F127)</f>
        <v>0.05</v>
      </c>
      <c r="G128" s="504" t="n">
        <f aca="false">CHOOSE($B$119,G126,G127)</f>
        <v>0.05</v>
      </c>
      <c r="H128" s="504" t="n">
        <f aca="false">CHOOSE($B$119,H126,H127)</f>
        <v>0.05</v>
      </c>
      <c r="I128" s="504" t="n">
        <f aca="false">CHOOSE($B$119,I126,I127)</f>
        <v>0.05</v>
      </c>
      <c r="J128" s="504" t="n">
        <f aca="false">CHOOSE($B$119,J126,J127)</f>
        <v>0.05</v>
      </c>
      <c r="K128" s="504" t="n">
        <f aca="false">CHOOSE($B$119,K126,K127)</f>
        <v>0.05</v>
      </c>
      <c r="L128" s="504" t="n">
        <f aca="false">CHOOSE($B$119,L126,L127)</f>
        <v>0.05</v>
      </c>
      <c r="M128" s="504" t="n">
        <f aca="false">CHOOSE($B$119,M126,M127)</f>
        <v>0.05</v>
      </c>
      <c r="N128" s="504" t="n">
        <f aca="false">CHOOSE($B$119,N126,N127)</f>
        <v>0.05</v>
      </c>
      <c r="O128" s="504" t="n">
        <f aca="false">CHOOSE($B$119,O126,O127)</f>
        <v>0.05</v>
      </c>
      <c r="P128" s="504" t="n">
        <f aca="false">CHOOSE($B$119,P126,P127)</f>
        <v>0.05</v>
      </c>
      <c r="Q128" s="504" t="n">
        <f aca="false">CHOOSE($B$119,Q126,Q127)</f>
        <v>0.05</v>
      </c>
      <c r="R128" s="504" t="n">
        <f aca="false">CHOOSE($B$119,R126,R127)</f>
        <v>0.05</v>
      </c>
      <c r="S128" s="504" t="n">
        <f aca="false">CHOOSE($B$119,S126,S127)</f>
        <v>0.05</v>
      </c>
      <c r="T128" s="504" t="n">
        <f aca="false">CHOOSE($B$119,T126,T127)</f>
        <v>0.05</v>
      </c>
      <c r="U128" s="504" t="n">
        <f aca="false">CHOOSE($B$119,U126,U127)</f>
        <v>0.05</v>
      </c>
      <c r="V128" s="504" t="n">
        <f aca="false">CHOOSE($B$119,V126,V127)</f>
        <v>0</v>
      </c>
      <c r="W128" s="504" t="n">
        <f aca="false">CHOOSE($B$119,W126,W127)</f>
        <v>0</v>
      </c>
      <c r="X128" s="504" t="n">
        <f aca="false">CHOOSE($B$119,X126,X127)</f>
        <v>0</v>
      </c>
      <c r="Y128" s="504" t="n">
        <f aca="false">CHOOSE($B$119,Y126,Y127)</f>
        <v>0</v>
      </c>
      <c r="Z128" s="504" t="n">
        <f aca="false">CHOOSE($B$119,Z126,Z127)</f>
        <v>0</v>
      </c>
      <c r="AA128" s="504" t="n">
        <f aca="false">CHOOSE($B$119,AA126,AA127)</f>
        <v>0</v>
      </c>
      <c r="AB128" s="504" t="n">
        <f aca="false">CHOOSE($B$119,AB126,AB127)</f>
        <v>0</v>
      </c>
      <c r="AC128" s="504" t="n">
        <f aca="false">CHOOSE($B$119,AC126,AC127)</f>
        <v>0</v>
      </c>
      <c r="AD128" s="504" t="n">
        <f aca="false">CHOOSE($B$119,AD126,AD127)</f>
        <v>0</v>
      </c>
      <c r="AE128" s="504" t="n">
        <f aca="false">CHOOSE($B$119,AE126,AE127)</f>
        <v>0</v>
      </c>
      <c r="AF128" s="504" t="n">
        <f aca="false">CHOOSE($B$119,AF126,AF127)</f>
        <v>0</v>
      </c>
    </row>
    <row r="129" customFormat="false" ht="12.75" hidden="false" customHeight="false" outlineLevel="0" collapsed="false">
      <c r="B129" s="471"/>
      <c r="C129" s="471"/>
      <c r="D129" s="471"/>
      <c r="E129" s="471"/>
      <c r="F129" s="471"/>
      <c r="G129" s="471"/>
      <c r="H129" s="471"/>
      <c r="I129" s="471"/>
      <c r="J129" s="471"/>
      <c r="K129" s="471"/>
      <c r="L129" s="471"/>
      <c r="M129" s="471"/>
      <c r="N129" s="471"/>
      <c r="O129" s="471"/>
      <c r="P129" s="471"/>
      <c r="Q129" s="471"/>
      <c r="R129" s="471"/>
      <c r="S129" s="471"/>
      <c r="T129" s="471"/>
      <c r="U129" s="471"/>
      <c r="V129" s="471"/>
      <c r="W129" s="471"/>
      <c r="X129" s="471"/>
      <c r="Y129" s="471"/>
      <c r="Z129" s="471"/>
      <c r="AA129" s="471"/>
      <c r="AB129" s="471"/>
      <c r="AC129" s="471"/>
      <c r="AD129" s="471"/>
      <c r="AE129" s="471"/>
      <c r="AF129" s="471"/>
    </row>
    <row r="130" customFormat="false" ht="12.75" hidden="false" customHeight="false" outlineLevel="0" collapsed="false">
      <c r="A130" s="500" t="s">
        <v>171</v>
      </c>
      <c r="B130" s="505"/>
      <c r="C130" s="505"/>
      <c r="D130" s="505"/>
      <c r="E130" s="505"/>
      <c r="F130" s="505"/>
      <c r="G130" s="505"/>
      <c r="H130" s="505"/>
      <c r="I130" s="505"/>
      <c r="J130" s="505"/>
      <c r="K130" s="505"/>
      <c r="L130" s="505"/>
      <c r="M130" s="505"/>
      <c r="N130" s="505"/>
      <c r="O130" s="505"/>
      <c r="P130" s="505"/>
      <c r="Q130" s="505"/>
      <c r="R130" s="505"/>
      <c r="S130" s="505"/>
      <c r="T130" s="505"/>
      <c r="U130" s="505"/>
      <c r="V130" s="505"/>
      <c r="W130" s="505"/>
      <c r="X130" s="505"/>
      <c r="Y130" s="505"/>
      <c r="Z130" s="505"/>
      <c r="AA130" s="505"/>
      <c r="AB130" s="505"/>
      <c r="AC130" s="505"/>
      <c r="AD130" s="505"/>
      <c r="AE130" s="505"/>
      <c r="AF130" s="505"/>
    </row>
    <row r="131" customFormat="false" ht="12.75" hidden="false" customHeight="false" outlineLevel="0" collapsed="false">
      <c r="A131" s="501" t="s">
        <v>239</v>
      </c>
      <c r="B131" s="502" t="n">
        <v>0.03</v>
      </c>
      <c r="C131" s="502" t="n">
        <v>0.03</v>
      </c>
      <c r="D131" s="502" t="n">
        <v>0.03</v>
      </c>
      <c r="E131" s="502" t="n">
        <v>0.03</v>
      </c>
      <c r="F131" s="502" t="n">
        <v>0.03</v>
      </c>
      <c r="G131" s="502" t="n">
        <v>0.03</v>
      </c>
      <c r="H131" s="502" t="n">
        <v>0.03</v>
      </c>
      <c r="I131" s="502" t="n">
        <v>0.03</v>
      </c>
      <c r="J131" s="502" t="n">
        <v>0.03</v>
      </c>
      <c r="K131" s="502" t="n">
        <v>0.03</v>
      </c>
      <c r="L131" s="502" t="n">
        <v>0.03</v>
      </c>
      <c r="M131" s="502" t="n">
        <v>0.03</v>
      </c>
      <c r="N131" s="502" t="n">
        <v>0.03</v>
      </c>
      <c r="O131" s="502" t="n">
        <v>0.03</v>
      </c>
      <c r="P131" s="502" t="n">
        <v>0.03</v>
      </c>
      <c r="Q131" s="502" t="n">
        <v>0.03</v>
      </c>
      <c r="R131" s="502" t="n">
        <v>0.03</v>
      </c>
      <c r="S131" s="502" t="n">
        <v>0.03</v>
      </c>
      <c r="T131" s="502" t="n">
        <v>0.03</v>
      </c>
      <c r="U131" s="502" t="n">
        <v>0.03</v>
      </c>
      <c r="V131" s="502" t="n">
        <v>0.03</v>
      </c>
      <c r="W131" s="502" t="n">
        <f aca="false">1-SUM(B131:V131)</f>
        <v>0.37</v>
      </c>
      <c r="X131" s="502" t="n">
        <f aca="false">1-SUM(C131:W131)</f>
        <v>0.03</v>
      </c>
      <c r="Y131" s="502" t="n">
        <f aca="false">1-SUM(D131:X131)</f>
        <v>0.03</v>
      </c>
      <c r="Z131" s="502" t="n">
        <f aca="false">1-SUM(E131:Y131)</f>
        <v>0.03</v>
      </c>
      <c r="AA131" s="502" t="n">
        <f aca="false">1-SUM(F131:Z131)</f>
        <v>0.0299999999999999</v>
      </c>
      <c r="AB131" s="502" t="n">
        <f aca="false">1-SUM(G131:AA131)</f>
        <v>0.03</v>
      </c>
      <c r="AC131" s="502" t="n">
        <f aca="false">1-SUM(H131:AB131)</f>
        <v>0.03</v>
      </c>
      <c r="AD131" s="502" t="n">
        <f aca="false">1-SUM(I131:AC131)</f>
        <v>0.03</v>
      </c>
      <c r="AE131" s="502" t="n">
        <f aca="false">1-SUM(J131:AD131)</f>
        <v>0.0299999999999999</v>
      </c>
      <c r="AF131" s="502" t="n">
        <f aca="false">1-SUM(K131:AE131)</f>
        <v>0.03</v>
      </c>
    </row>
    <row r="132" customFormat="false" ht="12.75" hidden="false" customHeight="false" outlineLevel="0" collapsed="false">
      <c r="A132" s="501" t="s">
        <v>373</v>
      </c>
      <c r="B132" s="502" t="n">
        <f aca="false">100%/20</f>
        <v>0.05</v>
      </c>
      <c r="C132" s="502" t="n">
        <f aca="false">100%/20</f>
        <v>0.05</v>
      </c>
      <c r="D132" s="502" t="n">
        <f aca="false">100%/20</f>
        <v>0.05</v>
      </c>
      <c r="E132" s="502" t="n">
        <f aca="false">100%/20</f>
        <v>0.05</v>
      </c>
      <c r="F132" s="502" t="n">
        <f aca="false">100%/20</f>
        <v>0.05</v>
      </c>
      <c r="G132" s="502" t="n">
        <f aca="false">100%/20</f>
        <v>0.05</v>
      </c>
      <c r="H132" s="502" t="n">
        <f aca="false">100%/20</f>
        <v>0.05</v>
      </c>
      <c r="I132" s="502" t="n">
        <f aca="false">100%/20</f>
        <v>0.05</v>
      </c>
      <c r="J132" s="502" t="n">
        <f aca="false">100%/20</f>
        <v>0.05</v>
      </c>
      <c r="K132" s="502" t="n">
        <f aca="false">100%/20</f>
        <v>0.05</v>
      </c>
      <c r="L132" s="502" t="n">
        <f aca="false">100%/20</f>
        <v>0.05</v>
      </c>
      <c r="M132" s="502" t="n">
        <f aca="false">100%/20</f>
        <v>0.05</v>
      </c>
      <c r="N132" s="502" t="n">
        <f aca="false">100%/20</f>
        <v>0.05</v>
      </c>
      <c r="O132" s="502" t="n">
        <f aca="false">100%/20</f>
        <v>0.05</v>
      </c>
      <c r="P132" s="502" t="n">
        <f aca="false">100%/20</f>
        <v>0.05</v>
      </c>
      <c r="Q132" s="503" t="n">
        <f aca="false">100%/20</f>
        <v>0.05</v>
      </c>
      <c r="R132" s="503" t="n">
        <f aca="false">100%/20</f>
        <v>0.05</v>
      </c>
      <c r="S132" s="503" t="n">
        <f aca="false">100%/20</f>
        <v>0.05</v>
      </c>
      <c r="T132" s="503" t="n">
        <f aca="false">100%/20</f>
        <v>0.05</v>
      </c>
      <c r="U132" s="503" t="n">
        <f aca="false">100%/20</f>
        <v>0.05</v>
      </c>
      <c r="V132" s="503" t="n">
        <v>0</v>
      </c>
      <c r="W132" s="503" t="n">
        <v>0</v>
      </c>
      <c r="X132" s="503" t="n">
        <v>0</v>
      </c>
      <c r="Y132" s="503" t="n">
        <v>0</v>
      </c>
      <c r="Z132" s="503" t="n">
        <v>0</v>
      </c>
      <c r="AA132" s="503" t="n">
        <v>0</v>
      </c>
      <c r="AB132" s="503" t="n">
        <v>0</v>
      </c>
      <c r="AC132" s="503" t="n">
        <v>0</v>
      </c>
      <c r="AD132" s="503" t="n">
        <v>0</v>
      </c>
      <c r="AE132" s="503" t="n">
        <v>0</v>
      </c>
      <c r="AF132" s="503" t="n">
        <v>0</v>
      </c>
    </row>
    <row r="133" customFormat="false" ht="12.75" hidden="false" customHeight="false" outlineLevel="0" collapsed="false">
      <c r="A133" s="501" t="s">
        <v>374</v>
      </c>
      <c r="B133" s="504" t="n">
        <f aca="false">CHOOSE($B$119,B131,B132)</f>
        <v>0.05</v>
      </c>
      <c r="C133" s="504" t="n">
        <f aca="false">CHOOSE($B$119,C131,C132)</f>
        <v>0.05</v>
      </c>
      <c r="D133" s="504" t="n">
        <f aca="false">CHOOSE($B$119,D131,D132)</f>
        <v>0.05</v>
      </c>
      <c r="E133" s="504" t="n">
        <f aca="false">CHOOSE($B$119,E131,E132)</f>
        <v>0.05</v>
      </c>
      <c r="F133" s="504" t="n">
        <f aca="false">CHOOSE($B$119,F131,F132)</f>
        <v>0.05</v>
      </c>
      <c r="G133" s="504" t="n">
        <f aca="false">CHOOSE($B$119,G131,G132)</f>
        <v>0.05</v>
      </c>
      <c r="H133" s="504" t="n">
        <f aca="false">CHOOSE($B$119,H131,H132)</f>
        <v>0.05</v>
      </c>
      <c r="I133" s="504" t="n">
        <f aca="false">CHOOSE($B$119,I131,I132)</f>
        <v>0.05</v>
      </c>
      <c r="J133" s="504" t="n">
        <f aca="false">CHOOSE($B$119,J131,J132)</f>
        <v>0.05</v>
      </c>
      <c r="K133" s="504" t="n">
        <f aca="false">CHOOSE($B$119,K131,K132)</f>
        <v>0.05</v>
      </c>
      <c r="L133" s="504" t="n">
        <f aca="false">CHOOSE($B$119,L131,L132)</f>
        <v>0.05</v>
      </c>
      <c r="M133" s="504" t="n">
        <f aca="false">CHOOSE($B$119,M131,M132)</f>
        <v>0.05</v>
      </c>
      <c r="N133" s="504" t="n">
        <f aca="false">CHOOSE($B$119,N131,N132)</f>
        <v>0.05</v>
      </c>
      <c r="O133" s="504" t="n">
        <f aca="false">CHOOSE($B$119,O131,O132)</f>
        <v>0.05</v>
      </c>
      <c r="P133" s="504" t="n">
        <f aca="false">CHOOSE($B$119,P131,P132)</f>
        <v>0.05</v>
      </c>
      <c r="Q133" s="504" t="n">
        <f aca="false">CHOOSE($B$119,Q131,Q132)</f>
        <v>0.05</v>
      </c>
      <c r="R133" s="504" t="n">
        <f aca="false">CHOOSE($B$119,R131,R132)</f>
        <v>0.05</v>
      </c>
      <c r="S133" s="504" t="n">
        <f aca="false">CHOOSE($B$119,S131,S132)</f>
        <v>0.05</v>
      </c>
      <c r="T133" s="504" t="n">
        <f aca="false">CHOOSE($B$119,T131,T132)</f>
        <v>0.05</v>
      </c>
      <c r="U133" s="504" t="n">
        <f aca="false">CHOOSE($B$119,U131,U132)</f>
        <v>0.05</v>
      </c>
      <c r="V133" s="504" t="n">
        <f aca="false">CHOOSE($B$119,V131,V132)</f>
        <v>0</v>
      </c>
      <c r="W133" s="504" t="n">
        <f aca="false">CHOOSE($B$119,W131,W132)</f>
        <v>0</v>
      </c>
      <c r="X133" s="504" t="n">
        <f aca="false">CHOOSE($B$119,X131,X132)</f>
        <v>0</v>
      </c>
      <c r="Y133" s="504" t="n">
        <f aca="false">CHOOSE($B$119,Y131,Y132)</f>
        <v>0</v>
      </c>
      <c r="Z133" s="504" t="n">
        <f aca="false">CHOOSE($B$119,Z131,Z132)</f>
        <v>0</v>
      </c>
      <c r="AA133" s="504" t="n">
        <f aca="false">CHOOSE($B$119,AA131,AA132)</f>
        <v>0</v>
      </c>
      <c r="AB133" s="504" t="n">
        <f aca="false">CHOOSE($B$119,AB131,AB132)</f>
        <v>0</v>
      </c>
      <c r="AC133" s="504" t="n">
        <f aca="false">CHOOSE($B$119,AC131,AC132)</f>
        <v>0</v>
      </c>
      <c r="AD133" s="504" t="n">
        <f aca="false">CHOOSE($B$119,AD131,AD132)</f>
        <v>0</v>
      </c>
      <c r="AE133" s="504" t="n">
        <f aca="false">CHOOSE($B$119,AE131,AE132)</f>
        <v>0</v>
      </c>
      <c r="AF133" s="504" t="n">
        <f aca="false">CHOOSE($B$119,AF131,AF132)</f>
        <v>0</v>
      </c>
    </row>
    <row r="136" customFormat="false" ht="12.75" hidden="false" customHeight="false" outlineLevel="0" collapsed="false">
      <c r="B136" s="506"/>
      <c r="C136" s="506"/>
      <c r="D136" s="506"/>
      <c r="E136" s="506"/>
      <c r="F136" s="506"/>
      <c r="G136" s="506"/>
      <c r="H136" s="506"/>
      <c r="I136" s="506"/>
      <c r="J136" s="506"/>
      <c r="K136" s="506"/>
      <c r="L136" s="506"/>
      <c r="M136" s="506"/>
      <c r="N136" s="506"/>
      <c r="O136" s="506"/>
      <c r="P136" s="506"/>
      <c r="Q136" s="506"/>
      <c r="R136" s="506"/>
      <c r="S136" s="506"/>
      <c r="T136" s="506"/>
      <c r="U136" s="506"/>
      <c r="V136" s="506"/>
      <c r="W136" s="506"/>
      <c r="X136" s="506"/>
      <c r="Y136" s="506"/>
      <c r="Z136" s="506"/>
      <c r="AA136" s="506"/>
      <c r="AB136" s="506"/>
      <c r="AC136" s="506"/>
      <c r="AD136" s="506"/>
      <c r="AE136" s="506"/>
      <c r="AF136" s="506"/>
      <c r="AG136" s="506"/>
      <c r="AH136" s="506"/>
      <c r="AI136" s="506"/>
      <c r="AJ136" s="506"/>
      <c r="AK136" s="506"/>
      <c r="AL136" s="506"/>
      <c r="AM136" s="506"/>
      <c r="AN136" s="506"/>
      <c r="AO136" s="506"/>
      <c r="AP136" s="506"/>
      <c r="AQ136" s="506"/>
      <c r="AR136" s="506"/>
      <c r="AS136" s="506"/>
      <c r="AT136" s="506"/>
      <c r="AU136" s="506"/>
      <c r="AV136" s="506"/>
    </row>
    <row r="137" customFormat="false" ht="12.75" hidden="false" customHeight="false" outlineLevel="0" collapsed="false">
      <c r="A137" s="118" t="s">
        <v>375</v>
      </c>
      <c r="B137" s="286" t="n">
        <v>0</v>
      </c>
      <c r="C137" s="286" t="n">
        <v>1</v>
      </c>
      <c r="D137" s="286" t="n">
        <v>2</v>
      </c>
      <c r="E137" s="286" t="n">
        <v>3</v>
      </c>
      <c r="F137" s="286" t="n">
        <v>4</v>
      </c>
      <c r="G137" s="286" t="n">
        <v>5</v>
      </c>
      <c r="H137" s="286" t="n">
        <v>6</v>
      </c>
      <c r="I137" s="286" t="n">
        <v>7</v>
      </c>
      <c r="J137" s="286" t="n">
        <v>8</v>
      </c>
      <c r="K137" s="286" t="n">
        <v>9</v>
      </c>
      <c r="L137" s="286" t="n">
        <v>10</v>
      </c>
      <c r="M137" s="286" t="n">
        <v>11</v>
      </c>
      <c r="N137" s="286" t="n">
        <v>12</v>
      </c>
      <c r="O137" s="286" t="n">
        <v>13</v>
      </c>
      <c r="P137" s="286" t="n">
        <v>14</v>
      </c>
      <c r="Q137" s="286" t="n">
        <v>15</v>
      </c>
      <c r="R137" s="286" t="n">
        <v>16</v>
      </c>
      <c r="S137" s="286" t="n">
        <v>17</v>
      </c>
      <c r="T137" s="286" t="n">
        <v>18</v>
      </c>
      <c r="U137" s="286" t="n">
        <v>19</v>
      </c>
      <c r="V137" s="286" t="n">
        <v>20</v>
      </c>
      <c r="W137" s="286" t="n">
        <v>21</v>
      </c>
      <c r="X137" s="286" t="n">
        <v>21</v>
      </c>
      <c r="Y137" s="286" t="n">
        <v>21</v>
      </c>
      <c r="Z137" s="286" t="n">
        <v>21</v>
      </c>
      <c r="AA137" s="286" t="n">
        <v>21</v>
      </c>
      <c r="AB137" s="286" t="n">
        <v>21</v>
      </c>
      <c r="AC137" s="286" t="n">
        <v>21</v>
      </c>
      <c r="AD137" s="286" t="n">
        <v>21</v>
      </c>
      <c r="AE137" s="286" t="n">
        <v>21</v>
      </c>
      <c r="AF137" s="286" t="n">
        <v>21</v>
      </c>
      <c r="AG137" s="507"/>
      <c r="AH137" s="507"/>
      <c r="AI137" s="507"/>
      <c r="AJ137" s="507"/>
      <c r="AK137" s="507"/>
      <c r="AL137" s="507"/>
      <c r="AM137" s="507"/>
      <c r="AN137" s="507"/>
      <c r="AO137" s="507"/>
      <c r="AP137" s="507"/>
      <c r="AQ137" s="507"/>
    </row>
    <row r="138" customFormat="false" ht="12.75" hidden="false" customHeight="false" outlineLevel="0" collapsed="false">
      <c r="B138" s="286" t="n">
        <v>0.5</v>
      </c>
      <c r="C138" s="286" t="n">
        <v>1.5</v>
      </c>
      <c r="D138" s="286" t="n">
        <v>2.5</v>
      </c>
      <c r="E138" s="286" t="n">
        <v>3.5</v>
      </c>
      <c r="F138" s="286" t="n">
        <v>4.5</v>
      </c>
      <c r="G138" s="286" t="n">
        <v>5.5</v>
      </c>
      <c r="H138" s="286" t="n">
        <v>6.5</v>
      </c>
      <c r="I138" s="286" t="n">
        <v>7.5</v>
      </c>
      <c r="J138" s="286" t="n">
        <v>8.5</v>
      </c>
      <c r="K138" s="286" t="n">
        <v>9.5</v>
      </c>
      <c r="L138" s="286" t="n">
        <v>10.5</v>
      </c>
      <c r="M138" s="286" t="n">
        <v>11.5</v>
      </c>
      <c r="N138" s="286" t="n">
        <v>12.5</v>
      </c>
      <c r="O138" s="286" t="n">
        <v>13.5</v>
      </c>
      <c r="P138" s="286" t="n">
        <v>14.5</v>
      </c>
      <c r="Q138" s="286" t="n">
        <v>15.5</v>
      </c>
      <c r="R138" s="286" t="n">
        <v>16.5</v>
      </c>
      <c r="S138" s="286" t="n">
        <v>17.5</v>
      </c>
      <c r="T138" s="286" t="n">
        <v>18.5</v>
      </c>
      <c r="U138" s="286" t="n">
        <v>19.5</v>
      </c>
      <c r="V138" s="286" t="n">
        <v>20.5</v>
      </c>
      <c r="W138" s="286" t="n">
        <v>21.5</v>
      </c>
      <c r="X138" s="286" t="n">
        <v>21.5</v>
      </c>
      <c r="Y138" s="286" t="n">
        <v>21.5</v>
      </c>
      <c r="Z138" s="286" t="n">
        <v>21.5</v>
      </c>
      <c r="AA138" s="286" t="n">
        <v>21.5</v>
      </c>
      <c r="AB138" s="286" t="n">
        <v>21.5</v>
      </c>
      <c r="AC138" s="286" t="n">
        <v>21.5</v>
      </c>
      <c r="AD138" s="286" t="n">
        <v>21.5</v>
      </c>
      <c r="AE138" s="286" t="n">
        <v>21.5</v>
      </c>
      <c r="AF138" s="286" t="n">
        <v>21.5</v>
      </c>
      <c r="AG138" s="286"/>
      <c r="AH138" s="286"/>
      <c r="AI138" s="286"/>
      <c r="AJ138" s="286"/>
      <c r="AK138" s="286"/>
      <c r="AL138" s="286"/>
      <c r="AM138" s="286"/>
      <c r="AN138" s="286"/>
      <c r="AO138" s="452"/>
      <c r="AP138" s="452"/>
    </row>
    <row r="139" customFormat="false" ht="12.75" hidden="false" customHeight="false" outlineLevel="0" collapsed="false">
      <c r="A139" s="118" t="s">
        <v>376</v>
      </c>
      <c r="B139" s="508"/>
      <c r="C139" s="452"/>
      <c r="D139" s="452"/>
      <c r="E139" s="452"/>
      <c r="F139" s="452"/>
      <c r="G139" s="452"/>
      <c r="H139" s="452"/>
      <c r="I139" s="452"/>
      <c r="J139" s="452"/>
      <c r="K139" s="452"/>
      <c r="L139" s="452"/>
      <c r="M139" s="452"/>
      <c r="N139" s="452"/>
      <c r="O139" s="452"/>
      <c r="P139" s="452"/>
      <c r="Q139" s="452"/>
      <c r="R139" s="452"/>
      <c r="S139" s="452"/>
      <c r="T139" s="452"/>
      <c r="U139" s="452"/>
      <c r="V139" s="452"/>
      <c r="W139" s="452"/>
      <c r="X139" s="452"/>
      <c r="Y139" s="452"/>
      <c r="Z139" s="452"/>
      <c r="AA139" s="452"/>
      <c r="AB139" s="452"/>
      <c r="AC139" s="452"/>
      <c r="AD139" s="452"/>
      <c r="AE139" s="452"/>
      <c r="AF139" s="452"/>
      <c r="AG139" s="452"/>
      <c r="AH139" s="452"/>
      <c r="AI139" s="452"/>
    </row>
    <row r="140" customFormat="false" ht="12.75" hidden="false" customHeight="false" outlineLevel="0" collapsed="false">
      <c r="A140" s="0" t="s">
        <v>169</v>
      </c>
      <c r="B140" s="509" t="n">
        <f aca="false">(SUMPRODUCT(B137:W137,B36:W36)+SUMPRODUCT(B138:W138,B41:W41))/B35</f>
        <v>11.8204319606154</v>
      </c>
      <c r="C140" s="0"/>
      <c r="D140" s="0"/>
      <c r="E140" s="0"/>
      <c r="F140" s="452"/>
      <c r="G140" s="452"/>
      <c r="H140" s="452"/>
      <c r="I140" s="452"/>
      <c r="J140" s="452"/>
      <c r="K140" s="452"/>
      <c r="L140" s="452"/>
      <c r="M140" s="452"/>
      <c r="N140" s="452"/>
      <c r="O140" s="452"/>
      <c r="P140" s="452"/>
      <c r="Q140" s="452"/>
      <c r="R140" s="452"/>
      <c r="S140" s="452"/>
      <c r="T140" s="452"/>
      <c r="U140" s="452"/>
      <c r="V140" s="452"/>
      <c r="W140" s="452"/>
      <c r="X140" s="452"/>
      <c r="Y140" s="452"/>
      <c r="Z140" s="452"/>
      <c r="AA140" s="452"/>
      <c r="AB140" s="452"/>
      <c r="AC140" s="452"/>
      <c r="AD140" s="452"/>
      <c r="AE140" s="452"/>
      <c r="AF140" s="452"/>
      <c r="AG140" s="452"/>
      <c r="AH140" s="452"/>
      <c r="AI140" s="452"/>
      <c r="AJ140" s="452"/>
      <c r="AK140" s="452"/>
      <c r="AL140" s="452"/>
      <c r="AM140" s="452"/>
      <c r="AN140" s="452"/>
      <c r="AO140" s="452"/>
      <c r="AP140" s="452"/>
    </row>
    <row r="141" customFormat="false" ht="12.75" hidden="false" customHeight="false" outlineLevel="0" collapsed="false">
      <c r="A141" s="0" t="s">
        <v>170</v>
      </c>
      <c r="B141" s="509" t="e">
        <f aca="false">(SUMPRODUCT(B66:W66,B137:W137)+SUMPRODUCT(B138:W138,B71:W71))/B65</f>
        <v>#DIV/0!</v>
      </c>
      <c r="C141" s="0"/>
      <c r="D141" s="0"/>
      <c r="E141" s="0"/>
    </row>
    <row r="142" customFormat="false" ht="12.75" hidden="false" customHeight="false" outlineLevel="0" collapsed="false">
      <c r="A142" s="0" t="s">
        <v>171</v>
      </c>
      <c r="B142" s="509" t="e">
        <f aca="false">(SUMPRODUCT(B137:W137,B83:W83)+SUMPRODUCT(B138:W138,B88:W88))/B82</f>
        <v>#DIV/0!</v>
      </c>
      <c r="C142" s="0"/>
      <c r="D142" s="0"/>
      <c r="E142" s="0"/>
    </row>
    <row r="143" customFormat="false" ht="12.75" hidden="false" customHeight="false" outlineLevel="0" collapsed="false">
      <c r="A143" s="0"/>
      <c r="B143" s="0"/>
      <c r="C143" s="0"/>
      <c r="D143" s="0"/>
      <c r="E143" s="0"/>
    </row>
    <row r="144" customFormat="false" ht="12.75" hidden="false" customHeight="false" outlineLevel="0" collapsed="false">
      <c r="A144" s="0"/>
      <c r="B144" s="0"/>
      <c r="C144" s="0"/>
      <c r="D144" s="0"/>
      <c r="E144" s="0"/>
    </row>
    <row r="145" customFormat="false" ht="12.75" hidden="false" customHeight="false" outlineLevel="0" collapsed="false">
      <c r="A145" s="0"/>
      <c r="B145" s="0"/>
      <c r="C145" s="0"/>
      <c r="D145" s="0"/>
      <c r="E145" s="0"/>
    </row>
    <row r="146" customFormat="false" ht="12.75" hidden="false" customHeight="false" outlineLevel="0" collapsed="false">
      <c r="A146" s="0"/>
      <c r="B146" s="0"/>
      <c r="C146" s="0"/>
      <c r="D146" s="0"/>
      <c r="E146" s="0"/>
    </row>
    <row r="147" customFormat="false" ht="12.75" hidden="false" customHeight="false" outlineLevel="0" collapsed="false">
      <c r="A147" s="0"/>
      <c r="B147" s="0"/>
      <c r="C147" s="0"/>
      <c r="D147" s="0"/>
      <c r="E147" s="0"/>
    </row>
    <row r="148" customFormat="false" ht="12.75" hidden="false" customHeight="false" outlineLevel="0" collapsed="false">
      <c r="A148" s="0"/>
      <c r="B148" s="0"/>
      <c r="C148" s="0"/>
      <c r="D148" s="0"/>
      <c r="E148" s="0"/>
      <c r="F148" s="0"/>
      <c r="G148" s="0"/>
      <c r="H148" s="0"/>
      <c r="I148" s="0"/>
      <c r="J148" s="0"/>
      <c r="K148" s="0"/>
      <c r="L148" s="0"/>
      <c r="M148" s="0"/>
      <c r="N148" s="0"/>
      <c r="O148" s="0"/>
      <c r="P148" s="0"/>
      <c r="Q148" s="0"/>
      <c r="R148" s="0"/>
      <c r="S148" s="0"/>
      <c r="T148" s="0"/>
      <c r="U148" s="0"/>
      <c r="V148" s="0"/>
      <c r="W148" s="0"/>
      <c r="X148" s="0"/>
      <c r="Y148" s="0"/>
      <c r="Z148" s="0"/>
      <c r="AA148" s="0"/>
      <c r="AB148" s="0"/>
      <c r="AC148" s="0"/>
      <c r="AD148" s="0"/>
      <c r="AE148" s="0"/>
      <c r="AF148" s="0"/>
    </row>
    <row r="149" customFormat="false" ht="12.75" hidden="false" customHeight="false" outlineLevel="0" collapsed="false">
      <c r="A149" s="0"/>
      <c r="B149" s="0"/>
      <c r="C149" s="0"/>
      <c r="D149" s="0"/>
      <c r="E149" s="0"/>
      <c r="F149" s="510"/>
      <c r="G149" s="510"/>
      <c r="H149" s="510"/>
      <c r="I149" s="510"/>
      <c r="J149" s="510"/>
      <c r="K149" s="510"/>
      <c r="L149" s="510"/>
      <c r="M149" s="510"/>
      <c r="N149" s="510"/>
      <c r="O149" s="510"/>
      <c r="P149" s="510"/>
      <c r="Q149" s="510"/>
      <c r="R149" s="510"/>
      <c r="S149" s="510"/>
      <c r="T149" s="510"/>
      <c r="U149" s="510"/>
      <c r="V149" s="510"/>
      <c r="W149" s="0"/>
      <c r="X149" s="0"/>
      <c r="Y149" s="0"/>
      <c r="Z149" s="0"/>
      <c r="AA149" s="0"/>
      <c r="AB149" s="0"/>
      <c r="AC149" s="0"/>
      <c r="AD149" s="0"/>
      <c r="AE149" s="0"/>
      <c r="AF149" s="0"/>
    </row>
    <row r="150" customFormat="false" ht="12.75" hidden="false" customHeight="false" outlineLevel="0" collapsed="false">
      <c r="A150" s="0"/>
      <c r="B150" s="0"/>
      <c r="C150" s="0"/>
      <c r="D150" s="0"/>
      <c r="E150" s="0"/>
      <c r="F150" s="0"/>
      <c r="G150" s="0"/>
      <c r="H150" s="0"/>
      <c r="I150" s="0"/>
      <c r="J150" s="0"/>
      <c r="K150" s="0"/>
      <c r="L150" s="0"/>
      <c r="M150" s="0"/>
      <c r="N150" s="0"/>
      <c r="O150" s="0"/>
      <c r="P150" s="0"/>
      <c r="Q150" s="0"/>
      <c r="R150" s="0"/>
      <c r="S150" s="0"/>
      <c r="T150" s="0"/>
      <c r="U150" s="0"/>
      <c r="V150" s="0"/>
      <c r="W150" s="0"/>
      <c r="X150" s="0"/>
      <c r="Y150" s="0"/>
      <c r="Z150" s="0"/>
      <c r="AA150" s="0"/>
      <c r="AB150" s="0"/>
      <c r="AC150" s="0"/>
      <c r="AD150" s="0"/>
      <c r="AE150" s="0"/>
      <c r="AF150" s="0"/>
    </row>
    <row r="151" customFormat="false" ht="12.75" hidden="false" customHeight="false" outlineLevel="0" collapsed="false">
      <c r="A151" s="0"/>
      <c r="B151" s="0"/>
      <c r="C151" s="0"/>
      <c r="D151" s="0"/>
      <c r="E151" s="0"/>
      <c r="F151" s="0"/>
      <c r="G151" s="0"/>
      <c r="H151" s="0"/>
      <c r="I151" s="0"/>
      <c r="J151" s="0"/>
      <c r="K151" s="0"/>
      <c r="L151" s="0"/>
      <c r="M151" s="0"/>
      <c r="N151" s="0"/>
      <c r="O151" s="0"/>
      <c r="P151" s="0"/>
      <c r="Q151" s="0"/>
      <c r="R151" s="0"/>
      <c r="S151" s="0"/>
      <c r="T151" s="0"/>
      <c r="U151" s="0"/>
      <c r="V151" s="0"/>
      <c r="W151" s="0"/>
      <c r="X151" s="0"/>
      <c r="Y151" s="0"/>
      <c r="Z151" s="0"/>
      <c r="AA151" s="0"/>
      <c r="AB151" s="0"/>
      <c r="AC151" s="0"/>
      <c r="AD151" s="0"/>
      <c r="AE151" s="0"/>
      <c r="AF151" s="0"/>
    </row>
    <row r="152" customFormat="false" ht="12.75" hidden="false" customHeight="false" outlineLevel="0" collapsed="false">
      <c r="A152" s="0"/>
      <c r="B152" s="0"/>
      <c r="C152" s="0"/>
      <c r="D152" s="0"/>
      <c r="E152" s="0"/>
    </row>
    <row r="153" customFormat="false" ht="12.75" hidden="false" customHeight="false" outlineLevel="0" collapsed="false">
      <c r="A153" s="0"/>
      <c r="B153" s="0"/>
      <c r="C153" s="0"/>
      <c r="D153" s="0"/>
      <c r="E153" s="0"/>
    </row>
    <row r="154" customFormat="false" ht="12.75" hidden="false" customHeight="false" outlineLevel="0" collapsed="false">
      <c r="A154" s="0"/>
      <c r="B154" s="0"/>
      <c r="C154" s="0"/>
      <c r="D154" s="0"/>
      <c r="E154" s="0"/>
    </row>
    <row r="155" customFormat="false" ht="12.75" hidden="false" customHeight="false" outlineLevel="0" collapsed="false">
      <c r="A155" s="0"/>
      <c r="B155" s="0"/>
      <c r="C155" s="0"/>
      <c r="D155" s="0"/>
      <c r="E155" s="0"/>
    </row>
    <row r="156" customFormat="false" ht="12.75" hidden="false" customHeight="false" outlineLevel="0" collapsed="false">
      <c r="A156" s="0"/>
      <c r="B156" s="0"/>
      <c r="C156" s="0"/>
      <c r="D156" s="0"/>
      <c r="E156" s="0"/>
    </row>
  </sheetData>
  <mergeCells count="3">
    <mergeCell ref="C4:F4"/>
    <mergeCell ref="I4:L4"/>
    <mergeCell ref="O4:R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33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&amp;L&amp;T, &amp;D&amp;C&amp;F&amp;R&amp;P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1999-04-01T23:08:38Z</dcterms:created>
  <dc:creator>ect</dc:creator>
  <dc:description/>
  <dc:language>en-US</dc:language>
  <cp:lastModifiedBy>wjennin</cp:lastModifiedBy>
  <cp:lastPrinted>2000-01-25T15:27:15Z</cp:lastPrinted>
  <cp:revision>0</cp:revision>
  <dc:subject/>
  <dc:title/>
</cp:coreProperties>
</file>