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Notes&amp;Questions" sheetId="2" state="visible" r:id="rId4"/>
    <sheet name="Tracking Sheet" sheetId="3" state="visible" r:id="rId5"/>
    <sheet name="Assumptions" sheetId="4" state="visible" r:id="rId6"/>
    <sheet name="Power Price Assumption" sheetId="5" state="visible" r:id="rId7"/>
    <sheet name="IS" sheetId="6" state="visible" r:id="rId8"/>
    <sheet name="CF" sheetId="7" state="visible" r:id="rId9"/>
    <sheet name="Debt" sheetId="8" state="visible" r:id="rId10"/>
    <sheet name="Depreciation" sheetId="9" state="visible" r:id="rId11"/>
    <sheet name="Tax" sheetId="10" state="visible" r:id="rId12"/>
  </sheets>
  <externalReferences>
    <externalReference r:id="rId13"/>
    <externalReference r:id="rId14"/>
  </externalReferences>
  <definedNames>
    <definedName function="false" hidden="false" localSheetId="3" name="_xlnm.Print_Area" vbProcedure="false">Assumptions!$A$3:$P$92</definedName>
    <definedName function="false" hidden="false" localSheetId="6" name="_xlnm.Print_Area" vbProcedure="false">CF!$A$2:$Y$53</definedName>
    <definedName function="false" hidden="false" localSheetId="6" name="_xlnm.Print_Titles" vbProcedure="false">CF!$A:$B</definedName>
    <definedName function="false" hidden="false" localSheetId="7" name="_xlnm.Print_Area" vbProcedure="false">Debt!$A$14:$W$116</definedName>
    <definedName function="false" hidden="false" localSheetId="7" name="_xlnm.Print_Titles" vbProcedure="false">Debt!$A:$A</definedName>
    <definedName function="false" hidden="false" localSheetId="8" name="_xlnm.Print_Area" vbProcedure="false">Depreciation!$A$2:$Z$45</definedName>
    <definedName function="false" hidden="false" localSheetId="8" name="_xlnm.Print_Titles" vbProcedure="false">Depreciation!$A:$A</definedName>
    <definedName function="false" hidden="false" localSheetId="5" name="_xlnm.Print_Area" vbProcedure="false">IS!$A$2:$Y$55</definedName>
    <definedName function="false" hidden="false" localSheetId="5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9" name="_xlnm.Print_Area" vbProcedure="false">Tax!$A$2:$Y$46</definedName>
    <definedName function="false" hidden="false" localSheetId="9" name="_xlnm.Print_Titles" vbProcedure="false">Tax!$A:$C</definedName>
    <definedName function="false" hidden="false" name="AnnualHours" vbProcedure="false">Assumptions!$G$15</definedName>
    <definedName function="false" hidden="false" name="Deg_Rate" vbProcedure="false">Assumptions!$F$12</definedName>
    <definedName function="false" hidden="false" name="ISO_MW" vbProcedure="false">Assumptions!$I$10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NetMW" vbProcedure="false">Assumptions!$I$11</definedName>
    <definedName function="false" hidden="false" name="Variable" vbProcedure="false">#REF!</definedName>
    <definedName function="false" hidden="false" name="WaterTreatmentVar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<sst xmlns="http://schemas.openxmlformats.org/spreadsheetml/2006/main" count="493" uniqueCount="366">
  <si>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</si>
  <si>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</si>
  <si>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</si>
  <si>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</si>
  <si>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</si>
  <si>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</si>
  <si>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</si>
  <si>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</si>
  <si>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</si>
  <si>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</si>
  <si>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</si>
  <si>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</si>
  <si>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</si>
  <si>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</si>
  <si>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</si>
  <si>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</si>
  <si>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</si>
  <si>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</si>
  <si>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</si>
  <si>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</si>
  <si>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</si>
  <si>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</si>
  <si>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</si>
  <si>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</si>
  <si>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Item</t>
  </si>
  <si>
    <t xml:space="preserve">Note</t>
  </si>
  <si>
    <t xml:space="preserve">Use of Funds:</t>
  </si>
  <si>
    <t xml:space="preserve">EPC</t>
  </si>
  <si>
    <t xml:space="preserve">Heat Rate</t>
  </si>
  <si>
    <t xml:space="preserve">Use 9435/ HR used to purchase turbines</t>
  </si>
  <si>
    <t xml:space="preserve">Turbine</t>
  </si>
  <si>
    <t xml:space="preserve">BOP</t>
  </si>
  <si>
    <t xml:space="preserve">Currently using # net of mobilization cost ($725)/What is this cost? What does it include?</t>
  </si>
  <si>
    <t xml:space="preserve">Pipeline</t>
  </si>
  <si>
    <t xml:space="preserve">$6MM per Oscar</t>
  </si>
  <si>
    <t xml:space="preserve">Power Interconnect</t>
  </si>
  <si>
    <t xml:space="preserve">$2MM of transmission improvements per Oscar/What is the KV?</t>
  </si>
  <si>
    <t xml:space="preserve">SCR</t>
  </si>
  <si>
    <t xml:space="preserve">No</t>
  </si>
  <si>
    <t xml:space="preserve">Dual Fuel</t>
  </si>
  <si>
    <t xml:space="preserve">Black Start</t>
  </si>
  <si>
    <t xml:space="preserve">Should be $0/not in a remote location</t>
  </si>
  <si>
    <t xml:space="preserve">Gas Compression to 700 PSI</t>
  </si>
  <si>
    <t xml:space="preserve">Need clarification</t>
  </si>
  <si>
    <t xml:space="preserve">Demineralized Water Facility</t>
  </si>
  <si>
    <t xml:space="preserve">$0 ??</t>
  </si>
  <si>
    <t xml:space="preserve">Chillers</t>
  </si>
  <si>
    <t xml:space="preserve">Yes???/How much??</t>
  </si>
  <si>
    <t xml:space="preserve">Spare Parts</t>
  </si>
  <si>
    <t xml:space="preserve">Financing Costs</t>
  </si>
  <si>
    <t xml:space="preserve">Legal Fees</t>
  </si>
  <si>
    <t xml:space="preserve">Need to determine</t>
  </si>
  <si>
    <t xml:space="preserve">Financing Fees</t>
  </si>
  <si>
    <t xml:space="preserve">Capitalized Interests</t>
  </si>
  <si>
    <t xml:space="preserve">Would include interest during construction/need to determine</t>
  </si>
  <si>
    <t xml:space="preserve">Land</t>
  </si>
  <si>
    <t xml:space="preserve">Using:160 acres at $3000</t>
  </si>
  <si>
    <t xml:space="preserve">Contingency</t>
  </si>
  <si>
    <t xml:space="preserve">Could include extraordinary maintence???</t>
  </si>
  <si>
    <t xml:space="preserve">Operating Costs Assumptions</t>
  </si>
  <si>
    <t xml:space="preserve">Fixed O&amp;M</t>
  </si>
  <si>
    <t xml:space="preserve">$701 was an old #/What is the correct amount??/Doug Sewell might have "generic" # for LM6000 simple cycle </t>
  </si>
  <si>
    <t xml:space="preserve">Variable O&amp;M</t>
  </si>
  <si>
    <t xml:space="preserve">Note: Fixed Price Perior is for PPA/Market Price Period is for Merchant</t>
  </si>
  <si>
    <t xml:space="preserve">Using 2.03</t>
  </si>
  <si>
    <t xml:space="preserve">Major Maintence</t>
  </si>
  <si>
    <t xml:space="preserve">Note: Need to create separate Maj Main page that will calculate how long unit can run before MM</t>
  </si>
  <si>
    <t xml:space="preserve">Insurance</t>
  </si>
  <si>
    <t xml:space="preserve">SG&amp;A</t>
  </si>
  <si>
    <t xml:space="preserve">Utilties, Start Power</t>
  </si>
  <si>
    <t xml:space="preserve">Marketing Fee</t>
  </si>
  <si>
    <t xml:space="preserve">Admin Fees</t>
  </si>
  <si>
    <t xml:space="preserve">O&amp;M Fees</t>
  </si>
  <si>
    <t xml:space="preserve">Non-Escalated Costs</t>
  </si>
  <si>
    <t xml:space="preserve">Fuel</t>
  </si>
  <si>
    <t xml:space="preserve">Property Taxes &amp; Other</t>
  </si>
  <si>
    <t xml:space="preserve">Debt Service Reserve Fee</t>
  </si>
  <si>
    <t xml:space="preserve">TRACKING SHEET</t>
  </si>
  <si>
    <t xml:space="preserve">EQUITY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</si>
  <si>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</si>
  <si>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</si>
  <si>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</si>
  <si>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</si>
  <si>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AVGE</t>
  </si>
  <si>
    <t xml:space="preserve">Current </t>
  </si>
  <si>
    <t xml:space="preserve">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</si>
  <si>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</si>
  <si>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</si>
  <si>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</si>
  <si>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</si>
  <si>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</si>
  <si>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DEPRECIATION ASSUMPTIONS:</t>
  </si>
  <si>
    <t xml:space="preserve">Sources of Funds</t>
  </si>
  <si>
    <t xml:space="preserve">%</t>
  </si>
  <si>
    <t xml:space="preserve">000 $</t>
  </si>
  <si>
    <t xml:space="preserve">000 $/kW</t>
  </si>
  <si>
    <t xml:space="preserve">Type of Turbine</t>
  </si>
  <si>
    <t xml:space="preserve">LM6000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</si>
  <si>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</si>
  <si>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</si>
  <si>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</si>
  <si>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</si>
  <si>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Total Equity </t>
  </si>
  <si>
    <t xml:space="preserve">Number of Turbines</t>
  </si>
  <si>
    <t xml:space="preserve">Federal &amp; State Tax Depreciation</t>
  </si>
  <si>
    <t xml:space="preserve">Debt Issuance</t>
  </si>
  <si>
    <t xml:space="preserve">Turbine Rating</t>
  </si>
  <si>
    <t xml:space="preserve">EPC Costs </t>
  </si>
  <si>
    <t xml:space="preserve">MACRS</t>
  </si>
  <si>
    <t xml:space="preserve">Heat Rate (HHV)</t>
  </si>
  <si>
    <t xml:space="preserve">Transaction Costs </t>
  </si>
  <si>
    <t xml:space="preserve">SL</t>
  </si>
  <si>
    <t xml:space="preserve">Total Sources</t>
  </si>
  <si>
    <t xml:space="preserve">Annual Operating Hours</t>
  </si>
  <si>
    <t xml:space="preserve">Percentage of Peak Run Time</t>
  </si>
  <si>
    <t xml:space="preserve">Book Depreciation</t>
  </si>
  <si>
    <t xml:space="preserve">First Fiscal Year</t>
  </si>
  <si>
    <t xml:space="preserve">Uses of Funds</t>
  </si>
  <si>
    <t xml:space="preserve">Operating Months in the 1st yr.*</t>
  </si>
  <si>
    <t xml:space="preserve">Start of Commercial Operation</t>
  </si>
  <si>
    <t xml:space="preserve">EPC:</t>
  </si>
  <si>
    <t xml:space="preserve">End of Commercial Operation</t>
  </si>
  <si>
    <t xml:space="preserve">  Turbine</t>
  </si>
  <si>
    <t xml:space="preserve">Project Life (Years)</t>
  </si>
  <si>
    <t xml:space="preserve">TAX ASSUMPTIONS:</t>
  </si>
  <si>
    <t xml:space="preserve">  BOP</t>
  </si>
  <si>
    <t xml:space="preserve">Residual Value</t>
  </si>
  <si>
    <t xml:space="preserve">  Pipeline</t>
  </si>
  <si>
    <t xml:space="preserve">Federal Income Tax Rate</t>
  </si>
  <si>
    <t xml:space="preserve">  Power Interconnection</t>
  </si>
  <si>
    <t xml:space="preserve">State Income Tax Rate</t>
  </si>
  <si>
    <t xml:space="preserve">  SCR</t>
  </si>
  <si>
    <t xml:space="preserve">TECHNICAL ASSUMPTIONS:</t>
  </si>
  <si>
    <t xml:space="preserve">Franchise Tax Rate</t>
  </si>
  <si>
    <t xml:space="preserve">  Dual Fuel </t>
  </si>
  <si>
    <t xml:space="preserve">Gross Receipt Tax Rate</t>
  </si>
  <si>
    <t xml:space="preserve">  Black Start</t>
  </si>
  <si>
    <t xml:space="preserve">Net Project Capacity (MW)</t>
  </si>
  <si>
    <t xml:space="preserve">Annual Property Tax Rate</t>
  </si>
  <si>
    <t xml:space="preserve">  Gas Compression to 700 PSI</t>
  </si>
  <si>
    <t xml:space="preserve">Initial Spare Parts (000$)</t>
  </si>
  <si>
    <t xml:space="preserve">Assessd Value Based on SL Depreciation - yrs</t>
  </si>
  <si>
    <t xml:space="preserve">  Demineralized Water Facility</t>
  </si>
  <si>
    <t xml:space="preserve">Number of Starts per year</t>
  </si>
  <si>
    <t xml:space="preserve">Salvage Value</t>
  </si>
  <si>
    <t xml:space="preserve">  Chillers</t>
  </si>
  <si>
    <t xml:space="preserve">Cost per Start</t>
  </si>
  <si>
    <t xml:space="preserve">Assessd Value Multiplier</t>
  </si>
  <si>
    <t xml:space="preserve">  Spare Parts</t>
  </si>
  <si>
    <t xml:space="preserve">Evaporative Cooler (MW)</t>
  </si>
  <si>
    <t xml:space="preserve">Milage Rate for School Tax</t>
  </si>
  <si>
    <t xml:space="preserve">Sub Total</t>
  </si>
  <si>
    <t xml:space="preserve">Years of School Tax Abatement</t>
  </si>
  <si>
    <t xml:space="preserve">Milage rate for County Tax</t>
  </si>
  <si>
    <t xml:space="preserve">Financing Costs:</t>
  </si>
  <si>
    <t xml:space="preserve">PPA ASSUMPTIONS:</t>
  </si>
  <si>
    <t xml:space="preserve">Years of County Tax Abatement</t>
  </si>
  <si>
    <t xml:space="preserve">  Legal Fees</t>
  </si>
  <si>
    <t xml:space="preserve">Milage rate for City Tax</t>
  </si>
  <si>
    <t xml:space="preserve">  Financing Fee</t>
  </si>
  <si>
    <t xml:space="preserve">PPA Start Date</t>
  </si>
  <si>
    <t xml:space="preserve">Years of City Tax Abatement</t>
  </si>
  <si>
    <t xml:space="preserve">  Debt Reserves</t>
  </si>
  <si>
    <t xml:space="preserve">PPA Temination</t>
  </si>
  <si>
    <t xml:space="preserve">Fixed Price Period</t>
  </si>
  <si>
    <t xml:space="preserve">  Capitalized Interests</t>
  </si>
  <si>
    <t xml:space="preserve">No. of Years</t>
  </si>
  <si>
    <t xml:space="preserve">  Land</t>
  </si>
  <si>
    <t xml:space="preserve">Contractual  Capacity (MW)</t>
  </si>
  <si>
    <t xml:space="preserve">  Contingency</t>
  </si>
  <si>
    <t xml:space="preserve">Demand Charge ($/kW-mo)</t>
  </si>
  <si>
    <t xml:space="preserve">Energy Charge ($/MWh)</t>
  </si>
  <si>
    <t xml:space="preserve">Total Uses</t>
  </si>
  <si>
    <t xml:space="preserve">Block Charge ($/start/turbine)</t>
  </si>
  <si>
    <t xml:space="preserve">Degradation Factor (%)</t>
  </si>
  <si>
    <t xml:space="preserve">Degraded Capacity (MW)</t>
  </si>
  <si>
    <t xml:space="preserve">FINANCING ASSUMPTIONS:</t>
  </si>
  <si>
    <t xml:space="preserve">Net Generation (MW)</t>
  </si>
  <si>
    <t xml:space="preserve">Debt Issued </t>
  </si>
  <si>
    <t xml:space="preserve">Market Price Period</t>
  </si>
  <si>
    <t xml:space="preserve">DEBT</t>
  </si>
  <si>
    <t xml:space="preserve">Tranche 1</t>
  </si>
  <si>
    <t xml:space="preserve">Tranche 2</t>
  </si>
  <si>
    <t xml:space="preserve">Tranche 3</t>
  </si>
  <si>
    <t xml:space="preserve">Total</t>
  </si>
  <si>
    <t xml:space="preserve">Summary</t>
  </si>
  <si>
    <t xml:space="preserve">Contractual Capacity</t>
  </si>
  <si>
    <t xml:space="preserve">Amount ('000 $)</t>
  </si>
  <si>
    <t xml:space="preserve">Term (yrs)</t>
  </si>
  <si>
    <t xml:space="preserve">Final Maturity</t>
  </si>
  <si>
    <t xml:space="preserve">Capacity Factor (%)</t>
  </si>
  <si>
    <t xml:space="preserve">Average Life (yrs)</t>
  </si>
  <si>
    <t xml:space="preserve">Treasury Rate (%)</t>
  </si>
  <si>
    <t xml:space="preserve">Market Period Energy Margin ($/MWh)</t>
  </si>
  <si>
    <t xml:space="preserve">Spread (%)</t>
  </si>
  <si>
    <t xml:space="preserve">All In Coupon Rate (%)</t>
  </si>
  <si>
    <t xml:space="preserve">Maximum DSR Amount (12mths) (000 $)</t>
  </si>
  <si>
    <t xml:space="preserve">Maximum DSR Amount (12mths) (kW/mo.)</t>
  </si>
  <si>
    <t xml:space="preserve">OPERATING COSTS ASSUMPTIONS:</t>
  </si>
  <si>
    <t xml:space="preserve">Debt Service Reserve LOC Fee</t>
  </si>
  <si>
    <t xml:space="preserve">$/MW</t>
  </si>
  <si>
    <t xml:space="preserve">Interest Income Rate</t>
  </si>
  <si>
    <t xml:space="preserve">CPI Escalator</t>
  </si>
  <si>
    <t xml:space="preserve">Escalated Costs:</t>
  </si>
  <si>
    <t xml:space="preserve">Equity Closed</t>
  </si>
  <si>
    <t xml:space="preserve">Equity Partner's Share</t>
  </si>
  <si>
    <t xml:space="preserve">Enron's Share</t>
  </si>
  <si>
    <t xml:space="preserve">  Fixed Price Period</t>
  </si>
  <si>
    <t xml:space="preserve">SUMMARY OUTPUT:</t>
  </si>
  <si>
    <t xml:space="preserve">  Market Price Period</t>
  </si>
  <si>
    <t xml:space="preserve">Major Maintenance &amp; Ongoing Capex</t>
  </si>
  <si>
    <t xml:space="preserve">Avg.</t>
  </si>
  <si>
    <t xml:space="preserve">Min</t>
  </si>
  <si>
    <t xml:space="preserve">SG&amp;A </t>
  </si>
  <si>
    <t xml:space="preserve">Utilities, Start Power</t>
  </si>
  <si>
    <t xml:space="preserve">Cost Summary</t>
  </si>
  <si>
    <t xml:space="preserve">000$/ MW</t>
  </si>
  <si>
    <t xml:space="preserve">Soft Cost &amp; Other Misc Project Cost</t>
  </si>
  <si>
    <t xml:space="preserve">Non-Escalated Costs:</t>
  </si>
  <si>
    <t xml:space="preserve">Property Taxes &amp; Other </t>
  </si>
  <si>
    <t xml:space="preserve">Equity Returns</t>
  </si>
  <si>
    <t xml:space="preserve">20 Yrs After-Tax Cashflow &amp; w/o Residual Value</t>
  </si>
  <si>
    <t xml:space="preserve">20 Yrs After-Tax Cashflow &amp; w Residual Value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</si>
  <si>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</si>
  <si>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</si>
  <si>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</si>
  <si>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</si>
  <si>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After-Tax Cashflow (000 $)</t>
  </si>
  <si>
    <t xml:space="preserve">CAPACITY PRICE ASSUMPTIONS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</si>
  <si>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</si>
  <si>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</si>
  <si>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</si>
  <si>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</si>
  <si>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</si>
  <si>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</si>
  <si>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</si>
  <si>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</si>
  <si>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</si>
  <si>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</si>
  <si>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Market Price Scenario</t>
  </si>
  <si>
    <t xml:space="preserve">INCOME STATEMENT</t>
  </si>
  <si>
    <t xml:space="preserve">('000 $)</t>
  </si>
  <si>
    <t xml:space="preserve">Revenue</t>
  </si>
  <si>
    <t xml:space="preserve">Fixed Price Period: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</si>
  <si>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</si>
  <si>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</si>
  <si>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</si>
  <si>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</si>
  <si>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</si>
  <si>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</si>
  <si>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</si>
  <si>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</si>
  <si>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</si>
  <si>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</si>
  <si>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</si>
  <si>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</si>
  <si>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</si>
  <si>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r>
      <rPr>
        <sz val="10"/>
        <rFont val="Times New Roman"/>
        <family val="1"/>
      </rPr>
      <t xml:space="preserve">Property, Other Tax </t>
    </r>
    <r>
      <rPr>
        <vertAlign val="superscript"/>
        <sz val="10"/>
        <rFont val="Times New Roman"/>
        <family val="1"/>
      </rPr>
      <t xml:space="preserve">(1)</t>
    </r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</si>
  <si>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</si>
  <si>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</si>
  <si>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</si>
  <si>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</si>
  <si>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</si>
  <si>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</si>
  <si>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r>
      <rPr>
        <sz val="10"/>
        <rFont val="Times New Roman"/>
        <family val="1"/>
      </rPr>
      <t xml:space="preserve">Interest Expense </t>
    </r>
    <r>
      <rPr>
        <vertAlign val="superscript"/>
        <sz val="10"/>
        <rFont val="Times New Roman"/>
        <family val="1"/>
      </rPr>
      <t xml:space="preserve">(2)</t>
    </r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</si>
  <si>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</si>
  <si>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</si>
  <si>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</si>
  <si>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</si>
  <si>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</si>
  <si>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</si>
  <si>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</si>
  <si>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</si>
  <si>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</si>
  <si>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</si>
  <si>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</si>
  <si>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</si>
  <si>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</si>
  <si>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</si>
  <si>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</si>
  <si>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</si>
  <si>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</si>
  <si>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</si>
  <si>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</si>
  <si>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</si>
  <si>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</si>
  <si>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Residual Value</t>
  </si>
  <si>
    <t xml:space="preserve">Net CF</t>
  </si>
  <si>
    <t xml:space="preserve">Equity Partner's After-Tax IRR w/ 5x EBITDA Residual (20 yr.)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</si>
  <si>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</si>
  <si>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</si>
  <si>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</si>
  <si>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</si>
  <si>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</si>
  <si>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</si>
  <si>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</si>
  <si>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</si>
  <si>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</si>
  <si>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</si>
  <si>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</si>
  <si>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</si>
  <si>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</si>
  <si>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</si>
  <si>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</si>
  <si>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</si>
  <si>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Beginning Balance</t>
  </si>
  <si>
    <t xml:space="preserve">Principal Payment </t>
  </si>
  <si>
    <t xml:space="preserve">Interest Payment </t>
  </si>
  <si>
    <t xml:space="preserve">Ending Balance</t>
  </si>
  <si>
    <t xml:space="preserve">Cash Interest Expense</t>
  </si>
  <si>
    <t xml:space="preserve">Accrued Interest Expense</t>
  </si>
  <si>
    <t xml:space="preserve">Cash Principal Payments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</si>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</sst>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\$#,##0.00_);[RED]&quot;($&quot;#,##0.00\)"/>
    <numFmt numFmtId="171" formatCode="_(\$* #,##0_);_(\$* \(#,##0\);_(\$* \-_);_(@_)"/>
    <numFmt numFmtId="172" formatCode="_ &quot;$ &quot;* #,##0.00_ ;_ &quot;$ &quot;* \-#,##0.00_ ;_ &quot;$ &quot;* \-??_ ;_ @_ "/>
    <numFmt numFmtId="173" formatCode="[$-409]#,##0_);\(#,##0\)"/>
    <numFmt numFmtId="174" formatCode="0.0%;\-0.0%;&quot; -&quot;_%;@_%"/>
    <numFmt numFmtId="175" formatCode="0.0%"/>
    <numFmt numFmtId="176" formatCode="_(* #,##0.00_);_(* \(#,##0.00\);_(* \-??_);_(@_)"/>
    <numFmt numFmtId="177" formatCode="_(* #,##0_);_(* \(#,##0\);_(* \-??_);_(@_)"/>
    <numFmt numFmtId="178" formatCode="0%"/>
    <numFmt numFmtId="179" formatCode="0.00%"/>
    <numFmt numFmtId="180" formatCode="0.00\x_);\(0.00&quot;x)&quot;"/>
    <numFmt numFmtId="181" formatCode="\$#,##0_);[RED]&quot;($&quot;#,##0\)"/>
    <numFmt numFmtId="182" formatCode="[$-409]#,##0_);[RED]\(#,##0\)"/>
    <numFmt numFmtId="183" formatCode="[$-409]d\-mmm\-yy"/>
    <numFmt numFmtId="184" formatCode="#,##0.0_);[RED]\(#,##0.0\)"/>
    <numFmt numFmtId="185" formatCode="mmmm\ d&quot;, &quot;yyyy"/>
    <numFmt numFmtId="186" formatCode="0.00"/>
    <numFmt numFmtId="187" formatCode="mm/dd/yy"/>
    <numFmt numFmtId="188" formatCode="#,##0.00"/>
    <numFmt numFmtId="189" formatCode="[$-409]#,##0.00_);\(#,##0.00\)"/>
    <numFmt numFmtId="190" formatCode="0.000%"/>
    <numFmt numFmtId="191" formatCode="0"/>
    <numFmt numFmtId="192" formatCode="0.00\x"/>
    <numFmt numFmtId="193" formatCode="\$#,##0.00_);&quot;($&quot;#,##0.00\)"/>
    <numFmt numFmtId="194" formatCode="_(\$* #,##0.00_);_(\$* \(#,##0.00\);_(\$* \-??_);_(@_)"/>
    <numFmt numFmtId="195" formatCode="0.0"/>
    <numFmt numFmtId="196" formatCode="#,##0.0"/>
    <numFmt numFmtId="197" formatCode="[$-409]m/d/yyyy"/>
    <numFmt numFmtId="198" formatCode="_(* #,##0.0_);_(* \(#,##0.0\);_(* \-??_);_(@_)"/>
    <numFmt numFmtId="199" formatCode="#,##0"/>
    <numFmt numFmtId="200" formatCode="[$-409]d\-mmm"/>
    <numFmt numFmtId="201" formatCode="_(* #,##0.0000_);_(* \(#,##0.0000\);_(* \-??_);_(@_)"/>
    <numFmt numFmtId="202" formatCode="0_)"/>
    <numFmt numFmtId="203" formatCode="0.00_)"/>
    <numFmt numFmtId="204" formatCode="#,##0.0_);\(#,##0.0\)"/>
    <numFmt numFmtId="205" formatCode="_(* #,##0.00000_);_(* \(#,##0.00000\);_(* \-??_);_(@_)"/>
    <numFmt numFmtId="206" formatCode="_(\$* #,##0_);_(\$* \(#,##0\);_(\$* \-??_);_(@_)"/>
  </numFmts>
  <fonts count="6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0"/>
      <name val="Arial"/>
      <family val="2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2"/>
      <name val="Times New Roman"/>
      <family val="1"/>
    </font>
    <font>
      <sz val="12"/>
      <color rgb="FFFF0000"/>
      <name val="Times New Roman"/>
      <family val="1"/>
    </font>
    <font>
      <i val="true"/>
      <sz val="10"/>
      <name val="Times New Roman"/>
      <family val="1"/>
    </font>
    <font>
      <b val="true"/>
      <u val="single"/>
      <sz val="12"/>
      <color rgb="FF0000FF"/>
      <name val="Times New Roman"/>
      <family val="1"/>
    </font>
    <font>
      <sz val="12"/>
      <name val="Times New Roman"/>
      <family val="0"/>
    </font>
    <font>
      <b val="true"/>
      <u val="single"/>
      <sz val="12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2"/>
      <color rgb="FF000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2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Arial"/>
      <family val="2"/>
    </font>
    <font>
      <u val="single"/>
      <sz val="10"/>
      <name val="Times New Roman"/>
      <family val="1"/>
    </font>
    <font>
      <vertAlign val="superscript"/>
      <sz val="10"/>
      <name val="Times New Roman"/>
      <family val="1"/>
    </font>
    <font>
      <u val="single"/>
      <sz val="10"/>
      <name val="Arial"/>
      <family val="2"/>
    </font>
    <font>
      <sz val="7"/>
      <name val="times new roman"/>
      <family val="1"/>
    </font>
    <font>
      <sz val="10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sz val="14"/>
      <name val="Times New Roman"/>
      <family val="1"/>
    </font>
    <font>
      <u val="single"/>
      <sz val="10"/>
      <color rgb="FF80008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8"/>
      <name val="Times New Roman"/>
      <family val="1"/>
    </font>
    <font>
      <sz val="10"/>
      <color rgb="FF0000FF"/>
      <name val="Times New Roman"/>
      <family val="1"/>
    </font>
    <font>
      <b val="true"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4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3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7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3" fillId="5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7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3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2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5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1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3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3" fillId="5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9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7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02" fontId="5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7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Curve_Economics" xfId="26"/>
    <cellStyle name="Currency_Salton Sea 4" xfId="27"/>
    <cellStyle name="Currency_SHEET" xfId="28"/>
    <cellStyle name="Currency_Yuma CE Strategic" xfId="29"/>
    <cellStyle name="Normal_A" xfId="30"/>
    <cellStyle name="Normal_Book Depr" xfId="31"/>
    <cellStyle name="Normal_cf0402_ndf" xfId="32"/>
    <cellStyle name="Normal_COSO Capex" xfId="33"/>
    <cellStyle name="Normal_Curve_Economics" xfId="34"/>
    <cellStyle name="Normal_DAS Imperial 12-24-98 5PM" xfId="35"/>
    <cellStyle name="Normal_Depletion" xfId="36"/>
    <cellStyle name="Normal_Effective Tax Rate" xfId="37"/>
    <cellStyle name="Normal_IPP Summary" xfId="38"/>
    <cellStyle name="Normal_Master" xfId="39"/>
    <cellStyle name="Normal_Salton Sea 4" xfId="40"/>
    <cellStyle name="Normal_SHEET" xfId="41"/>
    <cellStyle name="Normal_Sheet1" xfId="42"/>
    <cellStyle name="Normal_Summary" xfId="43"/>
    <cellStyle name="Normal_SUMMARY_DCF_IPP" xfId="44"/>
    <cellStyle name="Normal_Supplementary analysis" xfId="45"/>
    <cellStyle name="Normal_Tax Depr" xfId="46"/>
    <cellStyle name="Normal_Yuma CE Strategic" xfId="47"/>
    <cellStyle name="Normal_yuma_1006a" xfId="48"/>
    <cellStyle name="Percent_Salton Sea 4" xfId="49"/>
    <cellStyle name="Percent_Tony" xfId="50"/>
    <cellStyle name="Percent_Yuma CE Strategic" xfId="5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wnsville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Debt!J97</f>
        <v>0</v>
      </c>
      <c r="E28" s="44" t="n">
        <f aca="false">Debt!J96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false" hidden="false" outlineLevel="0" max="2" min="2" style="1" width="9.14"/>
    <col collapsed="false" customWidth="true" hidden="false" outlineLevel="0" max="3" min="3" style="1" width="16.84"/>
    <col collapsed="false" customWidth="true" hidden="false" outlineLevel="0" max="23" min="4" style="1" width="10.56"/>
    <col collapsed="false" customWidth="true" hidden="false" outlineLevel="0" max="24" min="24" style="1" width="12.7"/>
    <col collapsed="false" customWidth="true" hidden="false" outlineLevel="0" max="25" min="25" style="1" width="13.14"/>
    <col collapsed="false" customWidth="true" hidden="false" outlineLevel="0" max="26" min="26" style="84" width="10.56"/>
    <col collapsed="false" customWidth="true" hidden="false" outlineLevel="0" max="27" min="27" style="84" width="9.99"/>
    <col collapsed="false" customWidth="false" hidden="false" outlineLevel="0" max="257" min="28" style="84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463" t="s">
        <v>341</v>
      </c>
      <c r="B4" s="464"/>
      <c r="C4" s="465"/>
      <c r="D4" s="465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48"/>
      <c r="AA4" s="448"/>
    </row>
    <row r="5" customFormat="false" ht="12.75" hidden="false" customHeight="false" outlineLevel="0" collapsed="false">
      <c r="A5" s="327"/>
      <c r="B5" s="465"/>
      <c r="C5" s="465"/>
      <c r="D5" s="466"/>
      <c r="E5" s="460"/>
      <c r="F5" s="460"/>
      <c r="G5" s="460"/>
      <c r="H5" s="460"/>
      <c r="I5" s="460"/>
      <c r="J5" s="460"/>
      <c r="K5" s="467"/>
      <c r="L5" s="460"/>
      <c r="M5" s="460"/>
      <c r="N5" s="460"/>
      <c r="O5" s="460"/>
      <c r="P5" s="460"/>
      <c r="Q5" s="467"/>
      <c r="R5" s="460"/>
      <c r="S5" s="460"/>
      <c r="T5" s="460"/>
      <c r="U5" s="460"/>
      <c r="V5" s="460"/>
      <c r="W5" s="467"/>
      <c r="X5" s="460"/>
      <c r="Y5" s="460"/>
      <c r="Z5" s="466"/>
      <c r="AA5" s="466"/>
    </row>
    <row r="6" customFormat="false" ht="12.75" hidden="false" customHeight="false" outlineLevel="0" collapsed="false">
      <c r="A6" s="306"/>
      <c r="B6" s="39"/>
      <c r="C6" s="468"/>
      <c r="D6" s="469" t="n">
        <f aca="false">'Power Price Assumption'!F9</f>
        <v>0.5</v>
      </c>
      <c r="E6" s="469" t="n">
        <f aca="false">'Power Price Assumption'!G9</f>
        <v>1.5</v>
      </c>
      <c r="F6" s="469" t="n">
        <f aca="false">'Power Price Assumption'!H9</f>
        <v>2.5</v>
      </c>
      <c r="G6" s="469" t="n">
        <f aca="false">'Power Price Assumption'!I9</f>
        <v>3.5</v>
      </c>
      <c r="H6" s="469" t="n">
        <f aca="false">'Power Price Assumption'!J9</f>
        <v>4.5</v>
      </c>
      <c r="I6" s="469" t="n">
        <f aca="false">'Power Price Assumption'!K9</f>
        <v>5.5</v>
      </c>
      <c r="J6" s="469" t="n">
        <f aca="false">'Power Price Assumption'!L9</f>
        <v>6.5</v>
      </c>
      <c r="K6" s="469" t="n">
        <f aca="false">'Power Price Assumption'!M9</f>
        <v>7.5</v>
      </c>
      <c r="L6" s="469" t="n">
        <f aca="false">'Power Price Assumption'!N9</f>
        <v>8.5</v>
      </c>
      <c r="M6" s="469" t="n">
        <f aca="false">'Power Price Assumption'!O9</f>
        <v>9.5</v>
      </c>
      <c r="N6" s="469" t="n">
        <f aca="false">'Power Price Assumption'!P9</f>
        <v>10.5</v>
      </c>
      <c r="O6" s="469" t="n">
        <f aca="false">'Power Price Assumption'!Q9</f>
        <v>11.5</v>
      </c>
      <c r="P6" s="469" t="n">
        <f aca="false">'Power Price Assumption'!R9</f>
        <v>12.5</v>
      </c>
      <c r="Q6" s="469" t="n">
        <f aca="false">'Power Price Assumption'!S9</f>
        <v>13.5</v>
      </c>
      <c r="R6" s="469" t="n">
        <f aca="false">'Power Price Assumption'!T9</f>
        <v>14.5</v>
      </c>
      <c r="S6" s="469" t="n">
        <f aca="false">'Power Price Assumption'!U9</f>
        <v>15.5</v>
      </c>
      <c r="T6" s="469" t="n">
        <f aca="false">'Power Price Assumption'!V9</f>
        <v>16.5</v>
      </c>
      <c r="U6" s="469" t="n">
        <f aca="false">'Power Price Assumption'!W9</f>
        <v>17.5</v>
      </c>
      <c r="V6" s="469" t="n">
        <f aca="false">'Power Price Assumption'!X9</f>
        <v>18.5</v>
      </c>
      <c r="W6" s="469" t="n">
        <f aca="false">'Power Price Assumption'!Y9</f>
        <v>19.5</v>
      </c>
      <c r="X6" s="469" t="n">
        <f aca="false">'Power Price Assumption'!Z9</f>
        <v>20.5</v>
      </c>
      <c r="Y6" s="469" t="n">
        <f aca="false">'Power Price Assumption'!AA9</f>
        <v>21.5</v>
      </c>
      <c r="Z6" s="470"/>
      <c r="AA6" s="466"/>
    </row>
    <row r="7" customFormat="false" ht="13.5" hidden="false" customHeight="false" outlineLevel="0" collapsed="false">
      <c r="A7" s="264" t="s">
        <v>241</v>
      </c>
      <c r="B7" s="431"/>
      <c r="C7" s="431"/>
      <c r="D7" s="265" t="n">
        <f aca="false">'Power Price Assumption'!F10</f>
        <v>2002</v>
      </c>
      <c r="E7" s="265" t="n">
        <f aca="false">'Power Price Assumption'!G10</f>
        <v>2003</v>
      </c>
      <c r="F7" s="265" t="n">
        <f aca="false">'Power Price Assumption'!H10</f>
        <v>2004</v>
      </c>
      <c r="G7" s="265" t="n">
        <f aca="false">'Power Price Assumption'!I10</f>
        <v>2005</v>
      </c>
      <c r="H7" s="265" t="n">
        <f aca="false">'Power Price Assumption'!J10</f>
        <v>2006</v>
      </c>
      <c r="I7" s="265" t="n">
        <f aca="false">'Power Price Assumption'!K10</f>
        <v>2007</v>
      </c>
      <c r="J7" s="265" t="n">
        <f aca="false">'Power Price Assumption'!L10</f>
        <v>2008</v>
      </c>
      <c r="K7" s="265" t="n">
        <f aca="false">'Power Price Assumption'!M10</f>
        <v>2009</v>
      </c>
      <c r="L7" s="265" t="n">
        <f aca="false">'Power Price Assumption'!N10</f>
        <v>2010</v>
      </c>
      <c r="M7" s="265" t="n">
        <f aca="false">'Power Price Assumption'!O10</f>
        <v>2011</v>
      </c>
      <c r="N7" s="265" t="n">
        <f aca="false">'Power Price Assumption'!P10</f>
        <v>2012</v>
      </c>
      <c r="O7" s="265" t="n">
        <f aca="false">'Power Price Assumption'!Q10</f>
        <v>2013</v>
      </c>
      <c r="P7" s="265" t="n">
        <f aca="false">'Power Price Assumption'!R10</f>
        <v>2014</v>
      </c>
      <c r="Q7" s="265" t="n">
        <f aca="false">'Power Price Assumption'!S10</f>
        <v>2015</v>
      </c>
      <c r="R7" s="265" t="n">
        <f aca="false">'Power Price Assumption'!T10</f>
        <v>2016</v>
      </c>
      <c r="S7" s="265" t="n">
        <f aca="false">'Power Price Assumption'!U10</f>
        <v>2017</v>
      </c>
      <c r="T7" s="265" t="n">
        <f aca="false">'Power Price Assumption'!V10</f>
        <v>2018</v>
      </c>
      <c r="U7" s="265" t="n">
        <f aca="false">'Power Price Assumption'!W10</f>
        <v>2019</v>
      </c>
      <c r="V7" s="265" t="n">
        <f aca="false">'Power Price Assumption'!X10</f>
        <v>2020</v>
      </c>
      <c r="W7" s="265" t="n">
        <f aca="false">'Power Price Assumption'!Y10</f>
        <v>2021</v>
      </c>
      <c r="X7" s="265" t="n">
        <f aca="false">'Power Price Assumption'!Z10</f>
        <v>2022</v>
      </c>
      <c r="Y7" s="265" t="n">
        <f aca="false">'Power Price Assumption'!AA10</f>
        <v>2023</v>
      </c>
    </row>
    <row r="8" customFormat="false" ht="12.75" hidden="false" customHeight="false" outlineLevel="0" collapsed="false">
      <c r="A8" s="306"/>
      <c r="B8" s="471"/>
      <c r="C8" s="471"/>
      <c r="D8" s="471"/>
      <c r="E8" s="471"/>
      <c r="F8" s="471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</row>
    <row r="9" customFormat="false" ht="12.75" hidden="false" customHeight="false" outlineLevel="0" collapsed="false">
      <c r="A9" s="472" t="s">
        <v>342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65"/>
      <c r="AA9" s="465"/>
    </row>
    <row r="10" customFormat="false" ht="12.75" hidden="false" customHeight="false" outlineLevel="0" collapsed="false">
      <c r="A10" s="472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65"/>
      <c r="AA10" s="465"/>
    </row>
    <row r="11" customFormat="false" ht="12.75" hidden="false" customHeight="false" outlineLevel="0" collapsed="false">
      <c r="A11" s="472"/>
      <c r="B11" s="39"/>
      <c r="C11" s="39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458"/>
      <c r="AA11" s="458"/>
    </row>
    <row r="12" customFormat="false" ht="13.5" hidden="false" customHeight="false" outlineLevel="0" collapsed="false">
      <c r="A12" s="473" t="s">
        <v>343</v>
      </c>
      <c r="B12" s="39"/>
      <c r="C12" s="39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458"/>
      <c r="AA12" s="458"/>
    </row>
    <row r="13" customFormat="false" ht="12.75" hidden="false" customHeight="false" outlineLevel="0" collapsed="false">
      <c r="A13" s="441" t="s">
        <v>344</v>
      </c>
      <c r="B13" s="455"/>
      <c r="C13" s="455"/>
      <c r="D13" s="181" t="n">
        <f aca="false">IS!D50</f>
        <v>3902.36680373333</v>
      </c>
      <c r="E13" s="181" t="n">
        <f aca="false">IS!E50</f>
        <v>5361.48990903917</v>
      </c>
      <c r="F13" s="181" t="n">
        <f aca="false">IS!F50</f>
        <v>5387.28859830293</v>
      </c>
      <c r="G13" s="181" t="n">
        <f aca="false">IS!G50</f>
        <v>16742.9911500404</v>
      </c>
      <c r="H13" s="181" t="n">
        <f aca="false">IS!H50</f>
        <v>28814.9762180378</v>
      </c>
      <c r="I13" s="181" t="n">
        <f aca="false">IS!I50</f>
        <v>29285.3998284335</v>
      </c>
      <c r="J13" s="181" t="n">
        <f aca="false">IS!J50</f>
        <v>29752.0846429622</v>
      </c>
      <c r="K13" s="181" t="n">
        <f aca="false">IS!K50</f>
        <v>30219.8324625121</v>
      </c>
      <c r="L13" s="181" t="n">
        <f aca="false">IS!L50</f>
        <v>31318.5089548153</v>
      </c>
      <c r="M13" s="181" t="n">
        <f aca="false">IS!M50</f>
        <v>31794.4266141835</v>
      </c>
      <c r="N13" s="181" t="n">
        <f aca="false">IS!N50</f>
        <v>32944.499916696</v>
      </c>
      <c r="O13" s="181" t="n">
        <f aca="false">IS!O50</f>
        <v>32647.2718092386</v>
      </c>
      <c r="P13" s="181" t="n">
        <f aca="false">IS!P50</f>
        <v>33904.5664693318</v>
      </c>
      <c r="Q13" s="181" t="n">
        <f aca="false">IS!Q50</f>
        <v>34475.5510139091</v>
      </c>
      <c r="R13" s="181" t="n">
        <f aca="false">IS!R50</f>
        <v>35037.5666320561</v>
      </c>
      <c r="S13" s="181" t="n">
        <f aca="false">IS!S50</f>
        <v>35588.9687564727</v>
      </c>
      <c r="T13" s="181" t="n">
        <f aca="false">IS!T50</f>
        <v>36160.2085447426</v>
      </c>
      <c r="U13" s="181" t="n">
        <f aca="false">IS!U50</f>
        <v>36731.4210905319</v>
      </c>
      <c r="V13" s="181" t="n">
        <f aca="false">IS!V50</f>
        <v>37280.4518812672</v>
      </c>
      <c r="W13" s="181" t="n">
        <f aca="false">IS!W50</f>
        <v>37698.7654320479</v>
      </c>
      <c r="X13" s="181" t="n">
        <f aca="false">IS!X50</f>
        <v>38032.3480828426</v>
      </c>
      <c r="Y13" s="181" t="n">
        <f aca="false">IS!Y50</f>
        <v>38585.2074928538</v>
      </c>
      <c r="Z13" s="458"/>
      <c r="AA13" s="458"/>
    </row>
    <row r="14" customFormat="false" ht="12.75" hidden="false" customHeight="false" outlineLevel="0" collapsed="false">
      <c r="A14" s="441" t="s">
        <v>345</v>
      </c>
      <c r="B14" s="39"/>
      <c r="C14" s="474"/>
      <c r="D14" s="181" t="n">
        <f aca="false">IS!D44</f>
        <v>1494.27</v>
      </c>
      <c r="E14" s="181" t="n">
        <f aca="false">IS!E44</f>
        <v>4482.81</v>
      </c>
      <c r="F14" s="181" t="n">
        <f aca="false">IS!F44</f>
        <v>4482.81</v>
      </c>
      <c r="G14" s="181" t="n">
        <f aca="false">IS!G44</f>
        <v>4482.81</v>
      </c>
      <c r="H14" s="181" t="n">
        <f aca="false">IS!H44</f>
        <v>4482.81</v>
      </c>
      <c r="I14" s="181" t="n">
        <f aca="false">IS!I44</f>
        <v>4482.81</v>
      </c>
      <c r="J14" s="181" t="n">
        <f aca="false">IS!J44</f>
        <v>4482.81</v>
      </c>
      <c r="K14" s="181" t="n">
        <f aca="false">IS!K44</f>
        <v>4482.81</v>
      </c>
      <c r="L14" s="181" t="n">
        <f aca="false">IS!L44</f>
        <v>4482.81</v>
      </c>
      <c r="M14" s="181" t="n">
        <f aca="false">IS!M44</f>
        <v>4482.81</v>
      </c>
      <c r="N14" s="181" t="n">
        <f aca="false">IS!N44</f>
        <v>4482.81</v>
      </c>
      <c r="O14" s="181" t="n">
        <f aca="false">IS!O44</f>
        <v>4482.81</v>
      </c>
      <c r="P14" s="181" t="n">
        <f aca="false">IS!P44</f>
        <v>4482.81</v>
      </c>
      <c r="Q14" s="181" t="n">
        <f aca="false">IS!Q44</f>
        <v>4482.81</v>
      </c>
      <c r="R14" s="181" t="n">
        <f aca="false">IS!R44</f>
        <v>4482.81</v>
      </c>
      <c r="S14" s="181" t="n">
        <f aca="false">IS!S44</f>
        <v>4482.81</v>
      </c>
      <c r="T14" s="181" t="n">
        <f aca="false">IS!T44</f>
        <v>4482.81</v>
      </c>
      <c r="U14" s="181" t="n">
        <f aca="false">IS!U44</f>
        <v>4482.81</v>
      </c>
      <c r="V14" s="181" t="n">
        <f aca="false">IS!V44</f>
        <v>4482.81</v>
      </c>
      <c r="W14" s="181" t="n">
        <f aca="false">IS!W44</f>
        <v>4482.81</v>
      </c>
      <c r="X14" s="181" t="n">
        <f aca="false">IS!X44</f>
        <v>4482.81</v>
      </c>
      <c r="Y14" s="181" t="n">
        <f aca="false">IS!Y44</f>
        <v>4482.81</v>
      </c>
      <c r="Z14" s="458"/>
      <c r="AA14" s="458"/>
    </row>
    <row r="15" customFormat="false" ht="15" hidden="false" customHeight="false" outlineLevel="0" collapsed="false">
      <c r="A15" s="441" t="s">
        <v>346</v>
      </c>
      <c r="B15" s="39"/>
      <c r="C15" s="39"/>
      <c r="D15" s="313" t="n">
        <f aca="false">-Depreciation!E30</f>
        <v>-4980.9</v>
      </c>
      <c r="E15" s="313" t="n">
        <f aca="false">-Depreciation!F30</f>
        <v>-9463.71</v>
      </c>
      <c r="F15" s="313" t="n">
        <f aca="false">-Depreciation!G30</f>
        <v>-8517.339</v>
      </c>
      <c r="G15" s="313" t="n">
        <f aca="false">-Depreciation!H30</f>
        <v>-7670.586</v>
      </c>
      <c r="H15" s="313" t="n">
        <f aca="false">-Depreciation!I30</f>
        <v>-6903.5274</v>
      </c>
      <c r="I15" s="313" t="n">
        <f aca="false">-Depreciation!J30</f>
        <v>-6206.2014</v>
      </c>
      <c r="J15" s="313" t="n">
        <f aca="false">-Depreciation!K30</f>
        <v>-5877.462</v>
      </c>
      <c r="K15" s="313" t="n">
        <f aca="false">-Depreciation!L30</f>
        <v>-5887.4238</v>
      </c>
      <c r="L15" s="313" t="n">
        <f aca="false">-Depreciation!M30</f>
        <v>-5877.462</v>
      </c>
      <c r="M15" s="313" t="n">
        <f aca="false">-Depreciation!N30</f>
        <v>-5887.4238</v>
      </c>
      <c r="N15" s="313" t="n">
        <f aca="false">-Depreciation!O30</f>
        <v>-5877.462</v>
      </c>
      <c r="O15" s="313" t="n">
        <f aca="false">-Depreciation!P30</f>
        <v>-5887.4238</v>
      </c>
      <c r="P15" s="313" t="n">
        <f aca="false">-Depreciation!Q30</f>
        <v>-5877.462</v>
      </c>
      <c r="Q15" s="313" t="n">
        <f aca="false">-Depreciation!R30</f>
        <v>-5887.4238</v>
      </c>
      <c r="R15" s="313" t="n">
        <f aca="false">-Depreciation!S30</f>
        <v>-5877.462</v>
      </c>
      <c r="S15" s="313" t="n">
        <f aca="false">-Depreciation!T30</f>
        <v>-2938.731</v>
      </c>
      <c r="T15" s="313" t="n">
        <f aca="false">-Depreciation!U30</f>
        <v>-0</v>
      </c>
      <c r="U15" s="313" t="n">
        <f aca="false">-Depreciation!V30</f>
        <v>-0</v>
      </c>
      <c r="V15" s="313" t="n">
        <f aca="false">-Depreciation!W30</f>
        <v>-0</v>
      </c>
      <c r="W15" s="313" t="n">
        <f aca="false">-Depreciation!X30</f>
        <v>-0</v>
      </c>
      <c r="X15" s="313" t="n">
        <f aca="false">-Depreciation!Y30</f>
        <v>-0</v>
      </c>
      <c r="Y15" s="313" t="n">
        <f aca="false">-Depreciation!Z30</f>
        <v>-0</v>
      </c>
      <c r="Z15" s="475"/>
      <c r="AA15" s="475"/>
    </row>
    <row r="16" customFormat="false" ht="12.75" hidden="false" customHeight="false" outlineLevel="0" collapsed="false">
      <c r="A16" s="476" t="s">
        <v>347</v>
      </c>
      <c r="B16" s="39"/>
      <c r="C16" s="39"/>
      <c r="D16" s="181" t="n">
        <f aca="false">SUM(D13:D15)</f>
        <v>415.736803733332</v>
      </c>
      <c r="E16" s="181" t="n">
        <f aca="false">SUM(E13:E15)</f>
        <v>380.589909039172</v>
      </c>
      <c r="F16" s="181" t="n">
        <f aca="false">SUM(F13:F15)</f>
        <v>1352.75959830293</v>
      </c>
      <c r="G16" s="181" t="n">
        <f aca="false">SUM(G13:G15)</f>
        <v>13555.2151500404</v>
      </c>
      <c r="H16" s="181" t="n">
        <f aca="false">SUM(H13:H15)</f>
        <v>26394.2588180378</v>
      </c>
      <c r="I16" s="181" t="n">
        <f aca="false">SUM(I13:I15)</f>
        <v>27562.0084284335</v>
      </c>
      <c r="J16" s="181" t="n">
        <f aca="false">SUM(J13:J15)</f>
        <v>28357.4326429622</v>
      </c>
      <c r="K16" s="181" t="n">
        <f aca="false">SUM(K13:K15)</f>
        <v>28815.2186625121</v>
      </c>
      <c r="L16" s="181" t="n">
        <f aca="false">SUM(L13:L15)</f>
        <v>29923.8569548153</v>
      </c>
      <c r="M16" s="181" t="n">
        <f aca="false">SUM(M13:M15)</f>
        <v>30389.8128141835</v>
      </c>
      <c r="N16" s="181" t="n">
        <f aca="false">SUM(N13:N15)</f>
        <v>31549.847916696</v>
      </c>
      <c r="O16" s="181" t="n">
        <f aca="false">SUM(O13:O15)</f>
        <v>31242.6580092386</v>
      </c>
      <c r="P16" s="181" t="n">
        <f aca="false">SUM(P13:P15)</f>
        <v>32509.9144693318</v>
      </c>
      <c r="Q16" s="181" t="n">
        <f aca="false">SUM(Q13:Q15)</f>
        <v>33070.9372139091</v>
      </c>
      <c r="R16" s="181" t="n">
        <f aca="false">SUM(R13:R15)</f>
        <v>33642.9146320561</v>
      </c>
      <c r="S16" s="181" t="n">
        <f aca="false">SUM(S13:S15)</f>
        <v>37133.0477564727</v>
      </c>
      <c r="T16" s="181" t="n">
        <f aca="false">SUM(T13:T15)</f>
        <v>40643.0185447426</v>
      </c>
      <c r="U16" s="181" t="n">
        <f aca="false">SUM(U13:U15)</f>
        <v>41214.2310905319</v>
      </c>
      <c r="V16" s="181" t="n">
        <f aca="false">SUM(V13:V15)</f>
        <v>41763.2618812672</v>
      </c>
      <c r="W16" s="181" t="n">
        <f aca="false">SUM(W13:W15)</f>
        <v>42181.5754320479</v>
      </c>
      <c r="X16" s="181" t="n">
        <f aca="false">SUM(X13:X15)</f>
        <v>42515.1580828426</v>
      </c>
      <c r="Y16" s="181" t="n">
        <f aca="false">SUM(Y13:Y15)</f>
        <v>43068.0174928538</v>
      </c>
      <c r="Z16" s="458"/>
      <c r="AA16" s="458"/>
    </row>
    <row r="17" customFormat="false" ht="12.75" hidden="false" customHeight="false" outlineLevel="0" collapsed="false">
      <c r="A17" s="441"/>
      <c r="B17" s="39"/>
      <c r="C17" s="39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458"/>
      <c r="AA17" s="458"/>
    </row>
    <row r="18" customFormat="false" ht="12.75" hidden="false" customHeight="false" outlineLevel="0" collapsed="false">
      <c r="A18" s="441" t="s">
        <v>347</v>
      </c>
      <c r="B18" s="39"/>
      <c r="C18" s="477"/>
      <c r="D18" s="181" t="n">
        <f aca="false">D16</f>
        <v>415.736803733332</v>
      </c>
      <c r="E18" s="181" t="n">
        <f aca="false">E16</f>
        <v>380.589909039172</v>
      </c>
      <c r="F18" s="181" t="n">
        <f aca="false">F16</f>
        <v>1352.75959830293</v>
      </c>
      <c r="G18" s="181" t="n">
        <f aca="false">G16</f>
        <v>13555.2151500404</v>
      </c>
      <c r="H18" s="181" t="n">
        <f aca="false">H16</f>
        <v>26394.2588180378</v>
      </c>
      <c r="I18" s="181" t="n">
        <f aca="false">I16</f>
        <v>27562.0084284335</v>
      </c>
      <c r="J18" s="181" t="n">
        <f aca="false">J16</f>
        <v>28357.4326429622</v>
      </c>
      <c r="K18" s="181" t="n">
        <f aca="false">K16</f>
        <v>28815.2186625121</v>
      </c>
      <c r="L18" s="181" t="n">
        <f aca="false">L16</f>
        <v>29923.8569548153</v>
      </c>
      <c r="M18" s="181" t="n">
        <f aca="false">M16</f>
        <v>30389.8128141835</v>
      </c>
      <c r="N18" s="181" t="n">
        <f aca="false">N16</f>
        <v>31549.847916696</v>
      </c>
      <c r="O18" s="181" t="n">
        <f aca="false">O16</f>
        <v>31242.6580092386</v>
      </c>
      <c r="P18" s="181" t="n">
        <f aca="false">P16</f>
        <v>32509.9144693318</v>
      </c>
      <c r="Q18" s="181" t="n">
        <f aca="false">Q16</f>
        <v>33070.9372139091</v>
      </c>
      <c r="R18" s="181" t="n">
        <f aca="false">R16</f>
        <v>33642.9146320561</v>
      </c>
      <c r="S18" s="181" t="n">
        <f aca="false">S16</f>
        <v>37133.0477564727</v>
      </c>
      <c r="T18" s="181" t="n">
        <f aca="false">T16</f>
        <v>40643.0185447426</v>
      </c>
      <c r="U18" s="181" t="n">
        <f aca="false">U16</f>
        <v>41214.2310905319</v>
      </c>
      <c r="V18" s="181" t="n">
        <f aca="false">V16</f>
        <v>41763.2618812672</v>
      </c>
      <c r="W18" s="181" t="n">
        <f aca="false">W16</f>
        <v>42181.5754320479</v>
      </c>
      <c r="X18" s="181" t="n">
        <f aca="false">X16</f>
        <v>42515.1580828426</v>
      </c>
      <c r="Y18" s="181" t="n">
        <f aca="false">Y16</f>
        <v>43068.0174928538</v>
      </c>
      <c r="Z18" s="458"/>
      <c r="AA18" s="458"/>
    </row>
    <row r="19" customFormat="false" ht="12.75" hidden="false" customHeight="false" outlineLevel="0" collapsed="false">
      <c r="A19" s="441" t="s">
        <v>348</v>
      </c>
      <c r="B19" s="39"/>
      <c r="C19" s="39"/>
      <c r="D19" s="478" t="n">
        <f aca="false">Assumptions!$N$23</f>
        <v>0.06</v>
      </c>
      <c r="E19" s="478" t="n">
        <f aca="false">Assumptions!$N$23</f>
        <v>0.06</v>
      </c>
      <c r="F19" s="478" t="n">
        <f aca="false">Assumptions!$N$23</f>
        <v>0.06</v>
      </c>
      <c r="G19" s="478" t="n">
        <f aca="false">Assumptions!$N$23</f>
        <v>0.06</v>
      </c>
      <c r="H19" s="478" t="n">
        <f aca="false">Assumptions!$N$23</f>
        <v>0.06</v>
      </c>
      <c r="I19" s="478" t="n">
        <f aca="false">Assumptions!$N$23</f>
        <v>0.06</v>
      </c>
      <c r="J19" s="478" t="n">
        <f aca="false">Assumptions!$N$23</f>
        <v>0.06</v>
      </c>
      <c r="K19" s="478" t="n">
        <f aca="false">Assumptions!$N$23</f>
        <v>0.06</v>
      </c>
      <c r="L19" s="478" t="n">
        <f aca="false">Assumptions!$N$23</f>
        <v>0.06</v>
      </c>
      <c r="M19" s="478" t="n">
        <f aca="false">Assumptions!$N$23</f>
        <v>0.06</v>
      </c>
      <c r="N19" s="478" t="n">
        <f aca="false">Assumptions!$N$23</f>
        <v>0.06</v>
      </c>
      <c r="O19" s="478" t="n">
        <f aca="false">Assumptions!$N$23</f>
        <v>0.06</v>
      </c>
      <c r="P19" s="478" t="n">
        <f aca="false">Assumptions!$N$23</f>
        <v>0.06</v>
      </c>
      <c r="Q19" s="478" t="n">
        <f aca="false">Assumptions!$N$23</f>
        <v>0.06</v>
      </c>
      <c r="R19" s="478" t="n">
        <f aca="false">Assumptions!$N$23</f>
        <v>0.06</v>
      </c>
      <c r="S19" s="478" t="n">
        <f aca="false">Assumptions!$N$23</f>
        <v>0.06</v>
      </c>
      <c r="T19" s="478" t="n">
        <f aca="false">Assumptions!$N$23</f>
        <v>0.06</v>
      </c>
      <c r="U19" s="478" t="n">
        <f aca="false">Assumptions!$N$23</f>
        <v>0.06</v>
      </c>
      <c r="V19" s="478" t="n">
        <f aca="false">Assumptions!$N$23</f>
        <v>0.06</v>
      </c>
      <c r="W19" s="478" t="n">
        <f aca="false">Assumptions!$N$23</f>
        <v>0.06</v>
      </c>
      <c r="X19" s="478" t="n">
        <f aca="false">Assumptions!$N$23</f>
        <v>0.06</v>
      </c>
      <c r="Y19" s="478" t="n">
        <f aca="false">Assumptions!$N$23</f>
        <v>0.06</v>
      </c>
      <c r="Z19" s="479"/>
      <c r="AA19" s="479"/>
    </row>
    <row r="20" customFormat="false" ht="12.75" hidden="false" customHeight="false" outlineLevel="0" collapsed="false">
      <c r="A20" s="441" t="s">
        <v>349</v>
      </c>
      <c r="B20" s="455"/>
      <c r="C20" s="455"/>
      <c r="D20" s="181" t="n">
        <f aca="false">D18*D19</f>
        <v>24.9442082239999</v>
      </c>
      <c r="E20" s="181" t="n">
        <f aca="false">E18*E19</f>
        <v>22.8353945423503</v>
      </c>
      <c r="F20" s="181" t="n">
        <f aca="false">F18*F19</f>
        <v>81.1655758981756</v>
      </c>
      <c r="G20" s="181" t="n">
        <f aca="false">G18*G19</f>
        <v>813.312909002422</v>
      </c>
      <c r="H20" s="181" t="n">
        <f aca="false">H18*H19</f>
        <v>1583.65552908227</v>
      </c>
      <c r="I20" s="181" t="n">
        <f aca="false">I18*I19</f>
        <v>1653.72050570601</v>
      </c>
      <c r="J20" s="181" t="n">
        <f aca="false">J18*J19</f>
        <v>1701.44595857773</v>
      </c>
      <c r="K20" s="181" t="n">
        <f aca="false">K18*K19</f>
        <v>1728.91311975072</v>
      </c>
      <c r="L20" s="181" t="n">
        <f aca="false">L18*L19</f>
        <v>1795.43141728892</v>
      </c>
      <c r="M20" s="181" t="n">
        <f aca="false">M18*M19</f>
        <v>1823.38876885101</v>
      </c>
      <c r="N20" s="181" t="n">
        <f aca="false">N18*N19</f>
        <v>1892.99087500176</v>
      </c>
      <c r="O20" s="181" t="n">
        <f aca="false">O18*O19</f>
        <v>1874.55948055431</v>
      </c>
      <c r="P20" s="181" t="n">
        <f aca="false">P18*P19</f>
        <v>1950.59486815991</v>
      </c>
      <c r="Q20" s="181" t="n">
        <f aca="false">Q18*Q19</f>
        <v>1984.25623283455</v>
      </c>
      <c r="R20" s="181" t="n">
        <f aca="false">R18*R19</f>
        <v>2018.57487792337</v>
      </c>
      <c r="S20" s="181" t="n">
        <f aca="false">S18*S19</f>
        <v>2227.98286538836</v>
      </c>
      <c r="T20" s="181" t="n">
        <f aca="false">T18*T19</f>
        <v>2438.58111268455</v>
      </c>
      <c r="U20" s="181" t="n">
        <f aca="false">U18*U19</f>
        <v>2472.85386543191</v>
      </c>
      <c r="V20" s="181" t="n">
        <f aca="false">V18*V19</f>
        <v>2505.79571287603</v>
      </c>
      <c r="W20" s="181" t="n">
        <f aca="false">W18*W19</f>
        <v>2530.89452592287</v>
      </c>
      <c r="X20" s="181" t="n">
        <f aca="false">X18*X19</f>
        <v>2550.90948497056</v>
      </c>
      <c r="Y20" s="181" t="n">
        <f aca="false">Y18*Y19</f>
        <v>2584.08104957123</v>
      </c>
      <c r="Z20" s="458"/>
      <c r="AA20" s="458"/>
    </row>
    <row r="21" customFormat="false" ht="12.75" hidden="false" customHeight="false" outlineLevel="0" collapsed="false">
      <c r="A21" s="441"/>
      <c r="B21" s="39"/>
      <c r="C21" s="39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458"/>
      <c r="AA21" s="458"/>
    </row>
    <row r="22" customFormat="false" ht="12.75" hidden="false" customHeight="false" outlineLevel="0" collapsed="false">
      <c r="A22" s="441" t="s">
        <v>350</v>
      </c>
      <c r="B22" s="455"/>
      <c r="C22" s="455"/>
      <c r="D22" s="181" t="n">
        <v>0</v>
      </c>
      <c r="E22" s="181" t="n">
        <f aca="false">D26</f>
        <v>0</v>
      </c>
      <c r="F22" s="181" t="n">
        <f aca="false">E26</f>
        <v>0</v>
      </c>
      <c r="G22" s="181" t="n">
        <f aca="false">F26</f>
        <v>0</v>
      </c>
      <c r="H22" s="181" t="n">
        <f aca="false">G26</f>
        <v>0</v>
      </c>
      <c r="I22" s="181" t="n">
        <f aca="false">H26</f>
        <v>0</v>
      </c>
      <c r="J22" s="181" t="n">
        <f aca="false">I26</f>
        <v>0</v>
      </c>
      <c r="K22" s="181" t="n">
        <f aca="false">J26</f>
        <v>0</v>
      </c>
      <c r="L22" s="181" t="n">
        <f aca="false">K26</f>
        <v>0</v>
      </c>
      <c r="M22" s="181" t="n">
        <f aca="false">L26</f>
        <v>0</v>
      </c>
      <c r="N22" s="181" t="n">
        <f aca="false">M26</f>
        <v>0</v>
      </c>
      <c r="O22" s="181" t="n">
        <f aca="false">N26</f>
        <v>0</v>
      </c>
      <c r="P22" s="181" t="n">
        <f aca="false">O26</f>
        <v>0</v>
      </c>
      <c r="Q22" s="181" t="n">
        <f aca="false">P26</f>
        <v>0</v>
      </c>
      <c r="R22" s="181" t="n">
        <f aca="false">Q26</f>
        <v>0</v>
      </c>
      <c r="S22" s="181" t="n">
        <f aca="false">R26</f>
        <v>0</v>
      </c>
      <c r="T22" s="181" t="n">
        <f aca="false">S26</f>
        <v>0</v>
      </c>
      <c r="U22" s="181" t="n">
        <f aca="false">T26</f>
        <v>0</v>
      </c>
      <c r="V22" s="181" t="n">
        <v>0</v>
      </c>
      <c r="W22" s="181" t="n">
        <f aca="false">V26</f>
        <v>0</v>
      </c>
      <c r="X22" s="181" t="n">
        <f aca="false">W26</f>
        <v>0</v>
      </c>
      <c r="Y22" s="181" t="n">
        <f aca="false">X26</f>
        <v>0</v>
      </c>
      <c r="Z22" s="458"/>
      <c r="AA22" s="458"/>
    </row>
    <row r="23" customFormat="false" ht="12.75" hidden="false" customHeight="false" outlineLevel="0" collapsed="false">
      <c r="A23" s="441" t="s">
        <v>351</v>
      </c>
      <c r="B23" s="455"/>
      <c r="C23" s="455"/>
      <c r="D23" s="181" t="n">
        <f aca="false">IF(D20&lt;0,-D20,0)</f>
        <v>0</v>
      </c>
      <c r="E23" s="181" t="n">
        <f aca="false">IF(E20&lt;0,-E20,0)</f>
        <v>0</v>
      </c>
      <c r="F23" s="181" t="n">
        <f aca="false">IF(F20&lt;0,-F20,0)</f>
        <v>0</v>
      </c>
      <c r="G23" s="181" t="n">
        <f aca="false">IF(G20&lt;0,-G20,0)</f>
        <v>0</v>
      </c>
      <c r="H23" s="181" t="n">
        <f aca="false">IF(H20&lt;0,-H20,0)</f>
        <v>0</v>
      </c>
      <c r="I23" s="181" t="n">
        <f aca="false">IF(I20&lt;0,-I20,0)</f>
        <v>0</v>
      </c>
      <c r="J23" s="181" t="n">
        <f aca="false">IF(J20&lt;0,-J20,0)</f>
        <v>0</v>
      </c>
      <c r="K23" s="181" t="n">
        <f aca="false">IF(K20&lt;0,-K20,0)</f>
        <v>0</v>
      </c>
      <c r="L23" s="181" t="n">
        <f aca="false">IF(L20&lt;0,-L20,0)</f>
        <v>0</v>
      </c>
      <c r="M23" s="181" t="n">
        <f aca="false">IF(M20&lt;0,-M20,0)</f>
        <v>0</v>
      </c>
      <c r="N23" s="181" t="n">
        <f aca="false">IF(N20&lt;0,-N20,0)</f>
        <v>0</v>
      </c>
      <c r="O23" s="181" t="n">
        <f aca="false">IF(O20&lt;0,-O20,0)</f>
        <v>0</v>
      </c>
      <c r="P23" s="181" t="n">
        <f aca="false">IF(P20&lt;0,-P20,0)</f>
        <v>0</v>
      </c>
      <c r="Q23" s="181" t="n">
        <f aca="false">IF(Q20&lt;0,-Q20,0)</f>
        <v>0</v>
      </c>
      <c r="R23" s="181" t="n">
        <f aca="false">IF(R20&lt;0,-R20,0)</f>
        <v>0</v>
      </c>
      <c r="S23" s="181" t="n">
        <f aca="false">IF(S20&lt;0,-S20,0)</f>
        <v>0</v>
      </c>
      <c r="T23" s="181" t="n">
        <f aca="false">IF(T20&lt;0,-T20,0)</f>
        <v>0</v>
      </c>
      <c r="U23" s="181" t="n">
        <f aca="false">IF(U20&lt;0,-U20,0)</f>
        <v>0</v>
      </c>
      <c r="V23" s="181" t="n">
        <f aca="false">IF(V20&lt;0,-V20,0)</f>
        <v>0</v>
      </c>
      <c r="W23" s="181" t="n">
        <f aca="false">IF(W20&lt;0,-W20,0)</f>
        <v>0</v>
      </c>
      <c r="X23" s="181" t="n">
        <f aca="false">IF(X20&lt;0,-X20,0)</f>
        <v>0</v>
      </c>
      <c r="Y23" s="181" t="n">
        <f aca="false">IF(Y20&lt;0,-Y20,0)</f>
        <v>0</v>
      </c>
      <c r="Z23" s="458"/>
      <c r="AA23" s="458"/>
    </row>
    <row r="24" customFormat="false" ht="12.75" hidden="false" customHeight="false" outlineLevel="0" collapsed="false">
      <c r="A24" s="441" t="s">
        <v>352</v>
      </c>
      <c r="B24" s="455"/>
      <c r="C24" s="480"/>
      <c r="D24" s="481" t="n">
        <v>0</v>
      </c>
      <c r="E24" s="481" t="n">
        <v>0</v>
      </c>
      <c r="F24" s="481" t="n">
        <v>0</v>
      </c>
      <c r="G24" s="481" t="n">
        <v>0</v>
      </c>
      <c r="H24" s="481" t="n">
        <v>0</v>
      </c>
      <c r="I24" s="481" t="n">
        <v>0</v>
      </c>
      <c r="J24" s="481" t="n">
        <v>0</v>
      </c>
      <c r="K24" s="481" t="n">
        <v>0</v>
      </c>
      <c r="L24" s="481" t="n">
        <v>0</v>
      </c>
      <c r="M24" s="481" t="n">
        <v>0</v>
      </c>
      <c r="N24" s="481" t="n">
        <v>0</v>
      </c>
      <c r="O24" s="481" t="n">
        <v>0</v>
      </c>
      <c r="P24" s="481" t="n">
        <v>0</v>
      </c>
      <c r="Q24" s="481" t="n">
        <v>0</v>
      </c>
      <c r="R24" s="481" t="n">
        <v>0</v>
      </c>
      <c r="S24" s="481" t="n">
        <v>0</v>
      </c>
      <c r="T24" s="481" t="n">
        <v>0</v>
      </c>
      <c r="U24" s="481" t="n">
        <v>0</v>
      </c>
      <c r="V24" s="481" t="n">
        <v>0</v>
      </c>
      <c r="W24" s="481" t="n">
        <v>0</v>
      </c>
      <c r="X24" s="181" t="n">
        <f aca="false">IF(P23&gt;(SUM(Q25:W25)+SUM(P24:W24))*-1,P23-(SUM(P25:W25)+SUM(P24:W24))*-1,0)</f>
        <v>0</v>
      </c>
      <c r="Y24" s="181" t="n">
        <f aca="false">IF(Q23&gt;(SUM(R25:X25)+SUM(Q24:X24))*-1,Q23-(SUM(Q25:X25)+SUM(Q24:X24))*-1,0)</f>
        <v>0</v>
      </c>
      <c r="Z24" s="458"/>
      <c r="AA24" s="458"/>
    </row>
    <row r="25" customFormat="false" ht="12.75" hidden="false" customHeight="false" outlineLevel="0" collapsed="false">
      <c r="A25" s="39" t="s">
        <v>353</v>
      </c>
      <c r="B25" s="482"/>
      <c r="C25" s="39"/>
      <c r="D25" s="313" t="n">
        <f aca="false">IF(D20&lt;0,0,IF(D22&gt;D20,-D20,-D22))</f>
        <v>-0</v>
      </c>
      <c r="E25" s="313" t="n">
        <f aca="false">IF(E20&lt;0,0,IF(E22&gt;E20,-E20,-E22))</f>
        <v>-0</v>
      </c>
      <c r="F25" s="313" t="n">
        <f aca="false">IF(F20&lt;0,0,IF(F22&gt;F20,-F20,-F22))</f>
        <v>-0</v>
      </c>
      <c r="G25" s="313" t="n">
        <f aca="false">IF(G20&lt;0,0,IF(G22&gt;G20,-G20,-G22))</f>
        <v>-0</v>
      </c>
      <c r="H25" s="313" t="n">
        <f aca="false">IF(H20&lt;0,0,IF(H22&gt;H20,-H20,-H22))</f>
        <v>-0</v>
      </c>
      <c r="I25" s="313" t="n">
        <f aca="false">IF(I20&lt;0,0,IF(I22&gt;I20,-I20,-I22))</f>
        <v>-0</v>
      </c>
      <c r="J25" s="313" t="n">
        <f aca="false">IF(J20&lt;0,0,IF(J22&gt;J20,-J20,-J22))</f>
        <v>-0</v>
      </c>
      <c r="K25" s="313" t="n">
        <f aca="false">IF(K20&lt;0,0,IF(K22&gt;K20,-K20,-K22))</f>
        <v>-0</v>
      </c>
      <c r="L25" s="313" t="n">
        <f aca="false">IF(L20&lt;0,0,IF(L22&gt;L20,-L20,-L22))</f>
        <v>-0</v>
      </c>
      <c r="M25" s="313" t="n">
        <f aca="false">IF(M20&lt;0,0,IF(M22&gt;M20,-M20,-M22))</f>
        <v>-0</v>
      </c>
      <c r="N25" s="313" t="n">
        <f aca="false">IF(N20&lt;0,0,IF(N22&gt;N20,-N20,-N22))</f>
        <v>-0</v>
      </c>
      <c r="O25" s="313" t="n">
        <f aca="false">IF(O20&lt;0,0,IF(O22&gt;O20,-O20,-O22))</f>
        <v>-0</v>
      </c>
      <c r="P25" s="313" t="n">
        <f aca="false">IF(P20&lt;0,0,IF(P22&gt;P20,-P20,-P22))</f>
        <v>-0</v>
      </c>
      <c r="Q25" s="313" t="n">
        <f aca="false">IF(Q20&lt;0,0,IF(Q22&gt;Q20,-Q20,-Q22))</f>
        <v>-0</v>
      </c>
      <c r="R25" s="313" t="n">
        <f aca="false">IF(R20&lt;0,0,IF(R22&gt;R20,-R20,-R22))</f>
        <v>-0</v>
      </c>
      <c r="S25" s="313" t="n">
        <f aca="false">IF(S20&lt;0,0,IF(S22&gt;S20,-S20,-S22))</f>
        <v>-0</v>
      </c>
      <c r="T25" s="313" t="n">
        <f aca="false">IF(T20&lt;0,0,IF(T22&gt;T20,-T20,-T22))</f>
        <v>-0</v>
      </c>
      <c r="U25" s="313" t="n">
        <f aca="false">IF(U20&lt;0,0,IF(U22&gt;U20,-U20,-U22))</f>
        <v>-0</v>
      </c>
      <c r="V25" s="313" t="n">
        <f aca="false">IF(V20&lt;0,0,IF(V22&gt;V20,-V20,-V22))</f>
        <v>-0</v>
      </c>
      <c r="W25" s="313" t="n">
        <f aca="false">IF(W20&lt;0,0,IF(W22&gt;W20,-W20,-W22))</f>
        <v>-0</v>
      </c>
      <c r="X25" s="313" t="n">
        <f aca="false">IF(X20&lt;0,0,IF(X22&gt;X20,-X20,-X22))</f>
        <v>-0</v>
      </c>
      <c r="Y25" s="313" t="n">
        <f aca="false">IF(Y20&lt;0,0,IF(Y22&gt;Y20,-Y20,-Y22))</f>
        <v>-0</v>
      </c>
      <c r="Z25" s="475"/>
      <c r="AA25" s="475"/>
    </row>
    <row r="26" customFormat="false" ht="12.75" hidden="false" customHeight="false" outlineLevel="0" collapsed="false">
      <c r="A26" s="39" t="s">
        <v>354</v>
      </c>
      <c r="B26" s="482"/>
      <c r="C26" s="39"/>
      <c r="D26" s="313" t="n">
        <f aca="false">SUM(D22:D25)</f>
        <v>0</v>
      </c>
      <c r="E26" s="313" t="n">
        <f aca="false">SUM(E22:E25)</f>
        <v>0</v>
      </c>
      <c r="F26" s="313" t="n">
        <f aca="false">SUM(F22:F25)</f>
        <v>0</v>
      </c>
      <c r="G26" s="313" t="n">
        <f aca="false">SUM(G22:G25)</f>
        <v>0</v>
      </c>
      <c r="H26" s="313" t="n">
        <f aca="false">SUM(H22:H25)</f>
        <v>0</v>
      </c>
      <c r="I26" s="313" t="n">
        <f aca="false">SUM(I22:I25)</f>
        <v>0</v>
      </c>
      <c r="J26" s="313" t="n">
        <f aca="false">SUM(J22:J25)</f>
        <v>0</v>
      </c>
      <c r="K26" s="313" t="n">
        <f aca="false">SUM(K22:K25)</f>
        <v>0</v>
      </c>
      <c r="L26" s="313" t="n">
        <f aca="false">SUM(L22:L25)</f>
        <v>0</v>
      </c>
      <c r="M26" s="313" t="n">
        <f aca="false">SUM(M22:M25)</f>
        <v>0</v>
      </c>
      <c r="N26" s="313" t="n">
        <f aca="false">SUM(N22:N25)</f>
        <v>0</v>
      </c>
      <c r="O26" s="313" t="n">
        <f aca="false">SUM(O22:O25)</f>
        <v>0</v>
      </c>
      <c r="P26" s="313" t="n">
        <f aca="false">SUM(P22:P25)</f>
        <v>0</v>
      </c>
      <c r="Q26" s="313" t="n">
        <f aca="false">SUM(Q22:Q25)</f>
        <v>0</v>
      </c>
      <c r="R26" s="313" t="n">
        <f aca="false">SUM(R22:R25)</f>
        <v>0</v>
      </c>
      <c r="S26" s="313" t="n">
        <f aca="false">SUM(S22:S25)</f>
        <v>0</v>
      </c>
      <c r="T26" s="313" t="n">
        <f aca="false">SUM(T22:T25)</f>
        <v>0</v>
      </c>
      <c r="U26" s="313" t="n">
        <f aca="false">SUM(U22:U25)</f>
        <v>0</v>
      </c>
      <c r="V26" s="313" t="n">
        <f aca="false">SUM(V22:V25)</f>
        <v>0</v>
      </c>
      <c r="W26" s="313" t="n">
        <f aca="false">SUM(W22:W25)</f>
        <v>0</v>
      </c>
      <c r="X26" s="313" t="n">
        <f aca="false">SUM(X22:X25)</f>
        <v>0</v>
      </c>
      <c r="Y26" s="313" t="n">
        <f aca="false">SUM(Y22:Y25)</f>
        <v>0</v>
      </c>
      <c r="Z26" s="475"/>
      <c r="AA26" s="475"/>
    </row>
    <row r="27" customFormat="false" ht="12.75" hidden="false" customHeight="false" outlineLevel="0" collapsed="false">
      <c r="A27" s="39"/>
      <c r="B27" s="39"/>
      <c r="C27" s="39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458"/>
      <c r="AA27" s="458"/>
    </row>
    <row r="28" customFormat="false" ht="12.75" hidden="false" customHeight="false" outlineLevel="0" collapsed="false">
      <c r="A28" s="178" t="s">
        <v>355</v>
      </c>
      <c r="B28" s="39"/>
      <c r="C28" s="39"/>
      <c r="D28" s="181" t="n">
        <f aca="false">IF(D20&lt;0,0,D20+D25)</f>
        <v>24.9442082239999</v>
      </c>
      <c r="E28" s="181" t="n">
        <f aca="false">IF(E20&lt;0,0,E20+E25)</f>
        <v>22.8353945423503</v>
      </c>
      <c r="F28" s="181" t="n">
        <f aca="false">IF(F20&lt;0,0,F20+F25)</f>
        <v>81.1655758981756</v>
      </c>
      <c r="G28" s="181" t="n">
        <f aca="false">IF(G20&lt;0,0,G20+G25)</f>
        <v>813.312909002422</v>
      </c>
      <c r="H28" s="181" t="n">
        <f aca="false">IF(H20&lt;0,0,H20+H25)</f>
        <v>1583.65552908227</v>
      </c>
      <c r="I28" s="181" t="n">
        <f aca="false">IF(I20&lt;0,0,I20+I25)</f>
        <v>1653.72050570601</v>
      </c>
      <c r="J28" s="181" t="n">
        <f aca="false">IF(J20&lt;0,0,J20+J25)</f>
        <v>1701.44595857773</v>
      </c>
      <c r="K28" s="181" t="n">
        <f aca="false">IF(K20&lt;0,0,K20+K25)</f>
        <v>1728.91311975072</v>
      </c>
      <c r="L28" s="181" t="n">
        <f aca="false">IF(L20&lt;0,0,L20+L25)</f>
        <v>1795.43141728892</v>
      </c>
      <c r="M28" s="181" t="n">
        <f aca="false">IF(M20&lt;0,0,M20+M25)</f>
        <v>1823.38876885101</v>
      </c>
      <c r="N28" s="181" t="n">
        <f aca="false">IF(N20&lt;0,0,N20+N25)</f>
        <v>1892.99087500176</v>
      </c>
      <c r="O28" s="181" t="n">
        <f aca="false">IF(O20&lt;0,0,O20+O25)</f>
        <v>1874.55948055431</v>
      </c>
      <c r="P28" s="181" t="n">
        <f aca="false">IF(P20&lt;0,0,P20+P25)</f>
        <v>1950.59486815991</v>
      </c>
      <c r="Q28" s="181" t="n">
        <f aca="false">IF(Q20&lt;0,0,Q20+Q25)</f>
        <v>1984.25623283455</v>
      </c>
      <c r="R28" s="181" t="n">
        <f aca="false">IF(R20&lt;0,0,R20+R25)</f>
        <v>2018.57487792337</v>
      </c>
      <c r="S28" s="181" t="n">
        <f aca="false">IF(S20&lt;0,0,S20+S25)</f>
        <v>2227.98286538836</v>
      </c>
      <c r="T28" s="181" t="n">
        <f aca="false">IF(T20&lt;0,0,T20+T25)</f>
        <v>2438.58111268455</v>
      </c>
      <c r="U28" s="181" t="n">
        <f aca="false">IF(U20&lt;0,0,U20+U25)</f>
        <v>2472.85386543191</v>
      </c>
      <c r="V28" s="181" t="n">
        <f aca="false">IF(V20&lt;0,0,V20+V25)</f>
        <v>2505.79571287603</v>
      </c>
      <c r="W28" s="181" t="n">
        <f aca="false">IF(W20&lt;0,0,W20+W25)</f>
        <v>2530.89452592287</v>
      </c>
      <c r="X28" s="181" t="n">
        <f aca="false">IF(X20&lt;0,0,X20+X25)</f>
        <v>2550.90948497056</v>
      </c>
      <c r="Y28" s="181" t="n">
        <f aca="false">IF(Y20&lt;0,0,Y20+Y25)</f>
        <v>2584.08104957123</v>
      </c>
      <c r="Z28" s="458"/>
      <c r="AA28" s="458"/>
    </row>
    <row r="29" customFormat="false" ht="12.75" hidden="false" customHeight="false" outlineLevel="0" collapsed="false">
      <c r="A29" s="39" t="s">
        <v>356</v>
      </c>
      <c r="B29" s="39"/>
      <c r="C29" s="39"/>
      <c r="D29" s="283" t="n">
        <v>0</v>
      </c>
      <c r="E29" s="283" t="n">
        <v>0</v>
      </c>
      <c r="F29" s="283" t="n">
        <v>0</v>
      </c>
      <c r="G29" s="283" t="n">
        <v>0</v>
      </c>
      <c r="H29" s="283" t="n">
        <v>0</v>
      </c>
      <c r="I29" s="283" t="n">
        <v>0</v>
      </c>
      <c r="J29" s="283" t="n">
        <v>0</v>
      </c>
      <c r="K29" s="283" t="n">
        <v>0</v>
      </c>
      <c r="L29" s="283" t="n">
        <v>0</v>
      </c>
      <c r="M29" s="283" t="n">
        <v>0</v>
      </c>
      <c r="N29" s="283" t="n">
        <v>0</v>
      </c>
      <c r="O29" s="283" t="n">
        <v>0</v>
      </c>
      <c r="P29" s="283" t="n">
        <v>0</v>
      </c>
      <c r="Q29" s="283" t="n">
        <v>0</v>
      </c>
      <c r="R29" s="283" t="n">
        <v>0</v>
      </c>
      <c r="S29" s="283" t="n">
        <v>0</v>
      </c>
      <c r="T29" s="283" t="n">
        <v>0</v>
      </c>
      <c r="U29" s="283" t="n">
        <v>0</v>
      </c>
      <c r="V29" s="283" t="n">
        <v>0</v>
      </c>
      <c r="W29" s="283" t="n">
        <v>0</v>
      </c>
      <c r="X29" s="283" t="n">
        <v>0</v>
      </c>
      <c r="Y29" s="283" t="n">
        <v>0</v>
      </c>
      <c r="Z29" s="475"/>
      <c r="AA29" s="475"/>
    </row>
    <row r="30" customFormat="false" ht="12.75" hidden="false" customHeight="false" outlineLevel="0" collapsed="false">
      <c r="A30" s="178" t="s">
        <v>357</v>
      </c>
      <c r="B30" s="39"/>
      <c r="C30" s="39"/>
      <c r="D30" s="483" t="n">
        <f aca="false">SUM(D28:D29)</f>
        <v>24.9442082239999</v>
      </c>
      <c r="E30" s="484" t="n">
        <f aca="false">SUM(E28:E29)</f>
        <v>22.8353945423503</v>
      </c>
      <c r="F30" s="484" t="n">
        <f aca="false">SUM(F28:F29)</f>
        <v>81.1655758981756</v>
      </c>
      <c r="G30" s="484" t="n">
        <f aca="false">SUM(G28:G29)</f>
        <v>813.312909002422</v>
      </c>
      <c r="H30" s="484" t="n">
        <f aca="false">SUM(H28:H29)</f>
        <v>1583.65552908227</v>
      </c>
      <c r="I30" s="484" t="n">
        <f aca="false">SUM(I28:I29)</f>
        <v>1653.72050570601</v>
      </c>
      <c r="J30" s="484" t="n">
        <f aca="false">SUM(J28:J29)</f>
        <v>1701.44595857773</v>
      </c>
      <c r="K30" s="484" t="n">
        <f aca="false">SUM(K28:K29)</f>
        <v>1728.91311975072</v>
      </c>
      <c r="L30" s="484" t="n">
        <f aca="false">SUM(L28:L29)</f>
        <v>1795.43141728892</v>
      </c>
      <c r="M30" s="484" t="n">
        <f aca="false">SUM(M28:M29)</f>
        <v>1823.38876885101</v>
      </c>
      <c r="N30" s="485" t="n">
        <f aca="false">SUM(N28:N29)</f>
        <v>1892.99087500176</v>
      </c>
      <c r="O30" s="483" t="n">
        <f aca="false">SUM(O28:O29)</f>
        <v>1874.55948055431</v>
      </c>
      <c r="P30" s="484" t="n">
        <f aca="false">SUM(P28:P29)</f>
        <v>1950.59486815991</v>
      </c>
      <c r="Q30" s="484" t="n">
        <f aca="false">SUM(Q28:Q29)</f>
        <v>1984.25623283455</v>
      </c>
      <c r="R30" s="484" t="n">
        <f aca="false">SUM(R28:R29)</f>
        <v>2018.57487792337</v>
      </c>
      <c r="S30" s="484" t="n">
        <f aca="false">SUM(S28:S29)</f>
        <v>2227.98286538836</v>
      </c>
      <c r="T30" s="484" t="n">
        <f aca="false">SUM(T28:T29)</f>
        <v>2438.58111268455</v>
      </c>
      <c r="U30" s="484" t="n">
        <f aca="false">SUM(U28:U29)</f>
        <v>2472.85386543191</v>
      </c>
      <c r="V30" s="484" t="n">
        <f aca="false">SUM(V28:V29)</f>
        <v>2505.79571287603</v>
      </c>
      <c r="W30" s="484" t="n">
        <f aca="false">SUM(W28:W29)</f>
        <v>2530.89452592287</v>
      </c>
      <c r="X30" s="484" t="n">
        <f aca="false">SUM(X28:X29)</f>
        <v>2550.90948497056</v>
      </c>
      <c r="Y30" s="484" t="n">
        <f aca="false">SUM(Y28:Y29)</f>
        <v>2584.08104957123</v>
      </c>
      <c r="Z30" s="486"/>
      <c r="AA30" s="486"/>
    </row>
    <row r="31" customFormat="false" ht="12.75" hidden="false" customHeight="false" outlineLevel="0" collapsed="false">
      <c r="A31" s="178"/>
      <c r="B31" s="39"/>
      <c r="C31" s="39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486"/>
      <c r="AA31" s="486"/>
    </row>
    <row r="32" customFormat="false" ht="12.75" hidden="false" customHeight="false" outlineLevel="0" collapsed="false">
      <c r="A32" s="441"/>
      <c r="B32" s="39"/>
      <c r="C32" s="39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458"/>
      <c r="AA32" s="458"/>
    </row>
    <row r="33" customFormat="false" ht="12.75" hidden="false" customHeight="false" outlineLevel="0" collapsed="false">
      <c r="A33" s="472" t="s">
        <v>358</v>
      </c>
      <c r="B33" s="39"/>
      <c r="C33" s="39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458"/>
      <c r="AA33" s="458"/>
    </row>
    <row r="34" customFormat="false" ht="12.75" hidden="false" customHeight="false" outlineLevel="0" collapsed="false">
      <c r="A34" s="441" t="s">
        <v>344</v>
      </c>
      <c r="B34" s="39"/>
      <c r="C34" s="474"/>
      <c r="D34" s="181" t="n">
        <f aca="false">D13</f>
        <v>3902.36680373333</v>
      </c>
      <c r="E34" s="181" t="n">
        <f aca="false">E13</f>
        <v>5361.48990903917</v>
      </c>
      <c r="F34" s="181" t="n">
        <f aca="false">F13</f>
        <v>5387.28859830293</v>
      </c>
      <c r="G34" s="181" t="n">
        <f aca="false">G13</f>
        <v>16742.9911500404</v>
      </c>
      <c r="H34" s="181" t="n">
        <f aca="false">H13</f>
        <v>28814.9762180378</v>
      </c>
      <c r="I34" s="181" t="n">
        <f aca="false">I13</f>
        <v>29285.3998284335</v>
      </c>
      <c r="J34" s="181" t="n">
        <f aca="false">J13</f>
        <v>29752.0846429622</v>
      </c>
      <c r="K34" s="181" t="n">
        <f aca="false">K13</f>
        <v>30219.8324625121</v>
      </c>
      <c r="L34" s="181" t="n">
        <f aca="false">L13</f>
        <v>31318.5089548153</v>
      </c>
      <c r="M34" s="181" t="n">
        <f aca="false">M13</f>
        <v>31794.4266141835</v>
      </c>
      <c r="N34" s="181" t="n">
        <f aca="false">N13</f>
        <v>32944.499916696</v>
      </c>
      <c r="O34" s="181" t="n">
        <f aca="false">O13</f>
        <v>32647.2718092386</v>
      </c>
      <c r="P34" s="181" t="n">
        <f aca="false">P13</f>
        <v>33904.5664693318</v>
      </c>
      <c r="Q34" s="181" t="n">
        <f aca="false">Q13</f>
        <v>34475.5510139091</v>
      </c>
      <c r="R34" s="181" t="n">
        <f aca="false">R13</f>
        <v>35037.5666320561</v>
      </c>
      <c r="S34" s="181" t="n">
        <f aca="false">S13</f>
        <v>35588.9687564727</v>
      </c>
      <c r="T34" s="181" t="n">
        <f aca="false">T13</f>
        <v>36160.2085447426</v>
      </c>
      <c r="U34" s="181" t="n">
        <f aca="false">U13</f>
        <v>36731.4210905319</v>
      </c>
      <c r="V34" s="181" t="n">
        <f aca="false">V13</f>
        <v>37280.4518812672</v>
      </c>
      <c r="W34" s="181" t="n">
        <f aca="false">W13</f>
        <v>37698.7654320479</v>
      </c>
      <c r="X34" s="181" t="n">
        <f aca="false">X13</f>
        <v>38032.3480828426</v>
      </c>
      <c r="Y34" s="181" t="n">
        <f aca="false">Y13</f>
        <v>38585.2074928538</v>
      </c>
      <c r="Z34" s="458"/>
      <c r="AA34" s="458"/>
    </row>
    <row r="35" customFormat="false" ht="12.75" hidden="false" customHeight="false" outlineLevel="0" collapsed="false">
      <c r="A35" s="441" t="s">
        <v>345</v>
      </c>
      <c r="B35" s="39"/>
      <c r="C35" s="474"/>
      <c r="D35" s="181" t="n">
        <f aca="false">D14</f>
        <v>1494.27</v>
      </c>
      <c r="E35" s="181" t="n">
        <f aca="false">E14</f>
        <v>4482.81</v>
      </c>
      <c r="F35" s="181" t="n">
        <f aca="false">F14</f>
        <v>4482.81</v>
      </c>
      <c r="G35" s="181" t="n">
        <f aca="false">G14</f>
        <v>4482.81</v>
      </c>
      <c r="H35" s="181" t="n">
        <f aca="false">H14</f>
        <v>4482.81</v>
      </c>
      <c r="I35" s="181" t="n">
        <f aca="false">I14</f>
        <v>4482.81</v>
      </c>
      <c r="J35" s="181" t="n">
        <f aca="false">J14</f>
        <v>4482.81</v>
      </c>
      <c r="K35" s="181" t="n">
        <f aca="false">K14</f>
        <v>4482.81</v>
      </c>
      <c r="L35" s="181" t="n">
        <f aca="false">L14</f>
        <v>4482.81</v>
      </c>
      <c r="M35" s="181" t="n">
        <f aca="false">M14</f>
        <v>4482.81</v>
      </c>
      <c r="N35" s="181" t="n">
        <f aca="false">N14</f>
        <v>4482.81</v>
      </c>
      <c r="O35" s="181" t="n">
        <f aca="false">O14</f>
        <v>4482.81</v>
      </c>
      <c r="P35" s="181" t="n">
        <f aca="false">P14</f>
        <v>4482.81</v>
      </c>
      <c r="Q35" s="181" t="n">
        <f aca="false">Q14</f>
        <v>4482.81</v>
      </c>
      <c r="R35" s="181" t="n">
        <f aca="false">R14</f>
        <v>4482.81</v>
      </c>
      <c r="S35" s="181" t="n">
        <f aca="false">S14</f>
        <v>4482.81</v>
      </c>
      <c r="T35" s="181" t="n">
        <f aca="false">T14</f>
        <v>4482.81</v>
      </c>
      <c r="U35" s="181" t="n">
        <f aca="false">U14</f>
        <v>4482.81</v>
      </c>
      <c r="V35" s="181" t="n">
        <f aca="false">V14</f>
        <v>4482.81</v>
      </c>
      <c r="W35" s="181" t="n">
        <f aca="false">W14</f>
        <v>4482.81</v>
      </c>
      <c r="X35" s="181" t="n">
        <f aca="false">X14</f>
        <v>4482.81</v>
      </c>
      <c r="Y35" s="181" t="n">
        <f aca="false">Y14</f>
        <v>4482.81</v>
      </c>
      <c r="Z35" s="458"/>
      <c r="AA35" s="458"/>
    </row>
    <row r="36" customFormat="false" ht="12.75" hidden="false" customHeight="false" outlineLevel="0" collapsed="false">
      <c r="A36" s="441" t="s">
        <v>359</v>
      </c>
      <c r="B36" s="181"/>
      <c r="C36" s="181"/>
      <c r="D36" s="181" t="n">
        <f aca="false">-Depreciation!E18</f>
        <v>-4980.9</v>
      </c>
      <c r="E36" s="181" t="n">
        <f aca="false">-Depreciation!F18</f>
        <v>-9463.71</v>
      </c>
      <c r="F36" s="181" t="n">
        <f aca="false">-Depreciation!G18</f>
        <v>-8517.339</v>
      </c>
      <c r="G36" s="181" t="n">
        <f aca="false">-Depreciation!H18</f>
        <v>-7670.586</v>
      </c>
      <c r="H36" s="181" t="n">
        <f aca="false">-Depreciation!I18</f>
        <v>-6903.5274</v>
      </c>
      <c r="I36" s="181" t="n">
        <f aca="false">-Depreciation!J18</f>
        <v>-6206.2014</v>
      </c>
      <c r="J36" s="181" t="n">
        <f aca="false">-Depreciation!K18</f>
        <v>-5877.462</v>
      </c>
      <c r="K36" s="181" t="n">
        <f aca="false">-Depreciation!L18</f>
        <v>-5887.4238</v>
      </c>
      <c r="L36" s="181" t="n">
        <f aca="false">-Depreciation!M18</f>
        <v>-5877.462</v>
      </c>
      <c r="M36" s="181" t="n">
        <f aca="false">-Depreciation!N18</f>
        <v>-5887.4238</v>
      </c>
      <c r="N36" s="181" t="n">
        <f aca="false">-Depreciation!O18</f>
        <v>-5877.462</v>
      </c>
      <c r="O36" s="181" t="n">
        <f aca="false">-Depreciation!P18</f>
        <v>-5887.4238</v>
      </c>
      <c r="P36" s="181" t="n">
        <f aca="false">-Depreciation!Q18</f>
        <v>-5877.462</v>
      </c>
      <c r="Q36" s="181" t="n">
        <f aca="false">-Depreciation!R18</f>
        <v>-5887.4238</v>
      </c>
      <c r="R36" s="181" t="n">
        <f aca="false">-Depreciation!S18</f>
        <v>-5877.462</v>
      </c>
      <c r="S36" s="181" t="n">
        <f aca="false">-Depreciation!T18</f>
        <v>-2938.731</v>
      </c>
      <c r="T36" s="181" t="n">
        <f aca="false">-Depreciation!U18</f>
        <v>-0</v>
      </c>
      <c r="U36" s="181" t="n">
        <f aca="false">-Depreciation!V18</f>
        <v>-0</v>
      </c>
      <c r="V36" s="181" t="n">
        <f aca="false">-Depreciation!W18</f>
        <v>-0</v>
      </c>
      <c r="W36" s="181" t="n">
        <f aca="false">-Depreciation!X18</f>
        <v>-0</v>
      </c>
      <c r="X36" s="181" t="n">
        <f aca="false">-Depreciation!Y18</f>
        <v>-0</v>
      </c>
      <c r="Y36" s="181" t="n">
        <f aca="false">-Depreciation!Z18</f>
        <v>-0</v>
      </c>
      <c r="Z36" s="458"/>
      <c r="AA36" s="458"/>
    </row>
    <row r="37" customFormat="false" ht="15" hidden="false" customHeight="false" outlineLevel="0" collapsed="false">
      <c r="A37" s="441" t="s">
        <v>360</v>
      </c>
      <c r="B37" s="181"/>
      <c r="C37" s="181"/>
      <c r="D37" s="313" t="n">
        <f aca="false">-D30</f>
        <v>-24.9442082239999</v>
      </c>
      <c r="E37" s="313" t="n">
        <f aca="false">-E30</f>
        <v>-22.8353945423503</v>
      </c>
      <c r="F37" s="313" t="n">
        <f aca="false">-F30</f>
        <v>-81.1655758981756</v>
      </c>
      <c r="G37" s="313" t="n">
        <f aca="false">-G30</f>
        <v>-813.312909002422</v>
      </c>
      <c r="H37" s="313" t="n">
        <f aca="false">-H30</f>
        <v>-1583.65552908227</v>
      </c>
      <c r="I37" s="313" t="n">
        <f aca="false">-I30</f>
        <v>-1653.72050570601</v>
      </c>
      <c r="J37" s="313" t="n">
        <f aca="false">-J30</f>
        <v>-1701.44595857773</v>
      </c>
      <c r="K37" s="313" t="n">
        <f aca="false">-K30</f>
        <v>-1728.91311975072</v>
      </c>
      <c r="L37" s="313" t="n">
        <f aca="false">-L30</f>
        <v>-1795.43141728892</v>
      </c>
      <c r="M37" s="313" t="n">
        <f aca="false">-M30</f>
        <v>-1823.38876885101</v>
      </c>
      <c r="N37" s="313" t="n">
        <f aca="false">-N30</f>
        <v>-1892.99087500176</v>
      </c>
      <c r="O37" s="313" t="n">
        <f aca="false">-O30</f>
        <v>-1874.55948055431</v>
      </c>
      <c r="P37" s="313" t="n">
        <f aca="false">-P30</f>
        <v>-1950.59486815991</v>
      </c>
      <c r="Q37" s="313" t="n">
        <f aca="false">-Q30</f>
        <v>-1984.25623283455</v>
      </c>
      <c r="R37" s="313" t="n">
        <f aca="false">-R30</f>
        <v>-2018.57487792337</v>
      </c>
      <c r="S37" s="313" t="n">
        <f aca="false">-S30</f>
        <v>-2227.98286538836</v>
      </c>
      <c r="T37" s="313" t="n">
        <f aca="false">-T30</f>
        <v>-2438.58111268455</v>
      </c>
      <c r="U37" s="313" t="n">
        <f aca="false">-U30</f>
        <v>-2472.85386543191</v>
      </c>
      <c r="V37" s="313" t="n">
        <f aca="false">-V30</f>
        <v>-2505.79571287603</v>
      </c>
      <c r="W37" s="313" t="n">
        <f aca="false">-W30</f>
        <v>-2530.89452592287</v>
      </c>
      <c r="X37" s="313" t="n">
        <f aca="false">-X30</f>
        <v>-2550.90948497056</v>
      </c>
      <c r="Y37" s="313" t="n">
        <f aca="false">-Y30</f>
        <v>-2584.08104957123</v>
      </c>
      <c r="Z37" s="475"/>
      <c r="AA37" s="475"/>
    </row>
    <row r="38" customFormat="false" ht="12.75" hidden="false" customHeight="false" outlineLevel="0" collapsed="false">
      <c r="A38" s="476" t="s">
        <v>361</v>
      </c>
      <c r="B38" s="314"/>
      <c r="C38" s="314"/>
      <c r="D38" s="314" t="n">
        <f aca="false">SUM(D34:D37)</f>
        <v>390.792595509332</v>
      </c>
      <c r="E38" s="314" t="n">
        <f aca="false">SUM(E34:E37)</f>
        <v>357.754514496822</v>
      </c>
      <c r="F38" s="314" t="n">
        <f aca="false">SUM(F34:F37)</f>
        <v>1271.59402240475</v>
      </c>
      <c r="G38" s="314" t="n">
        <f aca="false">SUM(G34:G37)</f>
        <v>12741.902241038</v>
      </c>
      <c r="H38" s="314" t="n">
        <f aca="false">SUM(H34:H37)</f>
        <v>24810.6032889555</v>
      </c>
      <c r="I38" s="314" t="n">
        <f aca="false">SUM(I34:I37)</f>
        <v>25908.2879227275</v>
      </c>
      <c r="J38" s="314" t="n">
        <f aca="false">SUM(J34:J37)</f>
        <v>26655.9866843845</v>
      </c>
      <c r="K38" s="314" t="n">
        <f aca="false">SUM(K34:K37)</f>
        <v>27086.3055427613</v>
      </c>
      <c r="L38" s="314" t="n">
        <f aca="false">SUM(L34:L37)</f>
        <v>28128.4255375264</v>
      </c>
      <c r="M38" s="314" t="n">
        <f aca="false">SUM(M34:M37)</f>
        <v>28566.4240453325</v>
      </c>
      <c r="N38" s="314" t="n">
        <f aca="false">SUM(N34:N37)</f>
        <v>29656.8570416942</v>
      </c>
      <c r="O38" s="314" t="n">
        <f aca="false">SUM(O34:O37)</f>
        <v>29368.0985286843</v>
      </c>
      <c r="P38" s="314" t="n">
        <f aca="false">SUM(P34:P37)</f>
        <v>30559.3196011719</v>
      </c>
      <c r="Q38" s="314" t="n">
        <f aca="false">SUM(Q34:Q37)</f>
        <v>31086.6809810746</v>
      </c>
      <c r="R38" s="314" t="n">
        <f aca="false">SUM(R34:R37)</f>
        <v>31624.3397541328</v>
      </c>
      <c r="S38" s="314" t="n">
        <f aca="false">SUM(S34:S37)</f>
        <v>34905.0648910844</v>
      </c>
      <c r="T38" s="314" t="n">
        <f aca="false">SUM(T34:T37)</f>
        <v>38204.437432058</v>
      </c>
      <c r="U38" s="314" t="n">
        <f aca="false">SUM(U34:U37)</f>
        <v>38741.3772250999</v>
      </c>
      <c r="V38" s="314" t="n">
        <f aca="false">SUM(V34:V37)</f>
        <v>39257.4661683912</v>
      </c>
      <c r="W38" s="314" t="n">
        <f aca="false">SUM(W34:W37)</f>
        <v>39650.680906125</v>
      </c>
      <c r="X38" s="314" t="n">
        <f aca="false">SUM(X34:X37)</f>
        <v>39964.248597872</v>
      </c>
      <c r="Y38" s="314" t="n">
        <f aca="false">SUM(Y34:Y37)</f>
        <v>40483.9364432826</v>
      </c>
      <c r="Z38" s="486"/>
      <c r="AA38" s="486"/>
    </row>
    <row r="39" customFormat="false" ht="12.75" hidden="false" customHeight="false" outlineLevel="0" collapsed="false">
      <c r="A39" s="476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486"/>
      <c r="AA39" s="486"/>
    </row>
    <row r="40" customFormat="false" ht="12.75" hidden="false" customHeight="false" outlineLevel="0" collapsed="false">
      <c r="A40" s="441" t="s">
        <v>362</v>
      </c>
      <c r="B40" s="39"/>
      <c r="C40" s="487"/>
      <c r="D40" s="488" t="n">
        <f aca="false">Assumptions!$N$22</f>
        <v>0.35</v>
      </c>
      <c r="E40" s="488" t="n">
        <f aca="false">Assumptions!$N$22</f>
        <v>0.35</v>
      </c>
      <c r="F40" s="488" t="n">
        <f aca="false">Assumptions!$N$22</f>
        <v>0.35</v>
      </c>
      <c r="G40" s="488" t="n">
        <f aca="false">Assumptions!$N$22</f>
        <v>0.35</v>
      </c>
      <c r="H40" s="488" t="n">
        <f aca="false">Assumptions!$N$22</f>
        <v>0.35</v>
      </c>
      <c r="I40" s="488" t="n">
        <f aca="false">Assumptions!$N$22</f>
        <v>0.35</v>
      </c>
      <c r="J40" s="488" t="n">
        <f aca="false">Assumptions!$N$22</f>
        <v>0.35</v>
      </c>
      <c r="K40" s="488" t="n">
        <f aca="false">Assumptions!$N$22</f>
        <v>0.35</v>
      </c>
      <c r="L40" s="488" t="n">
        <f aca="false">Assumptions!$N$22</f>
        <v>0.35</v>
      </c>
      <c r="M40" s="488" t="n">
        <f aca="false">Assumptions!$N$22</f>
        <v>0.35</v>
      </c>
      <c r="N40" s="488" t="n">
        <f aca="false">Assumptions!$N$22</f>
        <v>0.35</v>
      </c>
      <c r="O40" s="488" t="n">
        <f aca="false">Assumptions!$N$22</f>
        <v>0.35</v>
      </c>
      <c r="P40" s="488" t="n">
        <f aca="false">Assumptions!$N$22</f>
        <v>0.35</v>
      </c>
      <c r="Q40" s="488" t="n">
        <f aca="false">Assumptions!$N$22</f>
        <v>0.35</v>
      </c>
      <c r="R40" s="488" t="n">
        <f aca="false">Assumptions!$N$22</f>
        <v>0.35</v>
      </c>
      <c r="S40" s="488" t="n">
        <f aca="false">Assumptions!$N$22</f>
        <v>0.35</v>
      </c>
      <c r="T40" s="488" t="n">
        <f aca="false">Assumptions!$N$22</f>
        <v>0.35</v>
      </c>
      <c r="U40" s="488" t="n">
        <f aca="false">Assumptions!$N$22</f>
        <v>0.35</v>
      </c>
      <c r="V40" s="488" t="n">
        <f aca="false">Assumptions!$N$22</f>
        <v>0.35</v>
      </c>
      <c r="W40" s="488" t="n">
        <f aca="false">Assumptions!$N$22</f>
        <v>0.35</v>
      </c>
      <c r="X40" s="488" t="n">
        <f aca="false">Assumptions!$N$22</f>
        <v>0.35</v>
      </c>
      <c r="Y40" s="488" t="n">
        <f aca="false">Assumptions!$N$22</f>
        <v>0.35</v>
      </c>
      <c r="Z40" s="489"/>
      <c r="AA40" s="489"/>
    </row>
    <row r="41" customFormat="false" ht="12.75" hidden="false" customHeight="false" outlineLevel="0" collapsed="false">
      <c r="A41" s="441" t="s">
        <v>363</v>
      </c>
      <c r="B41" s="181"/>
      <c r="C41" s="181"/>
      <c r="D41" s="490" t="n">
        <f aca="false">D38*D40</f>
        <v>136.777408428266</v>
      </c>
      <c r="E41" s="491" t="n">
        <f aca="false">E38*E40</f>
        <v>125.214080073888</v>
      </c>
      <c r="F41" s="491" t="n">
        <f aca="false">F38*F40</f>
        <v>445.057907841663</v>
      </c>
      <c r="G41" s="491" t="n">
        <f aca="false">G38*G40</f>
        <v>4459.66578436328</v>
      </c>
      <c r="H41" s="491" t="n">
        <f aca="false">H38*H40</f>
        <v>8683.71115113444</v>
      </c>
      <c r="I41" s="491" t="n">
        <f aca="false">I38*I40</f>
        <v>9067.90077295462</v>
      </c>
      <c r="J41" s="491" t="n">
        <f aca="false">J38*J40</f>
        <v>9329.59533953457</v>
      </c>
      <c r="K41" s="491" t="n">
        <f aca="false">K38*K40</f>
        <v>9480.20693996647</v>
      </c>
      <c r="L41" s="491" t="n">
        <f aca="false">L38*L40</f>
        <v>9844.94893813424</v>
      </c>
      <c r="M41" s="491" t="n">
        <f aca="false">M38*M40</f>
        <v>9998.24841586638</v>
      </c>
      <c r="N41" s="492" t="n">
        <f aca="false">N38*N40</f>
        <v>10379.899964593</v>
      </c>
      <c r="O41" s="490" t="n">
        <f aca="false">O38*O40</f>
        <v>10278.8344850395</v>
      </c>
      <c r="P41" s="491" t="n">
        <f aca="false">P38*P40</f>
        <v>10695.7618604102</v>
      </c>
      <c r="Q41" s="491" t="n">
        <f aca="false">Q38*Q40</f>
        <v>10880.3383433761</v>
      </c>
      <c r="R41" s="491" t="n">
        <f aca="false">R38*R40</f>
        <v>11068.5189139465</v>
      </c>
      <c r="S41" s="491" t="n">
        <f aca="false">S38*S40</f>
        <v>12216.7727118795</v>
      </c>
      <c r="T41" s="491" t="n">
        <f aca="false">T38*T40</f>
        <v>13371.5531012203</v>
      </c>
      <c r="U41" s="491" t="n">
        <f aca="false">U38*U40</f>
        <v>13559.482028785</v>
      </c>
      <c r="V41" s="491" t="n">
        <f aca="false">V38*V40</f>
        <v>13740.1131589369</v>
      </c>
      <c r="W41" s="491" t="n">
        <f aca="false">W38*W40</f>
        <v>13877.7383171438</v>
      </c>
      <c r="X41" s="491" t="n">
        <f aca="false">X38*X40</f>
        <v>13987.4870092552</v>
      </c>
      <c r="Y41" s="491" t="n">
        <f aca="false">Y38*Y40</f>
        <v>14169.3777551489</v>
      </c>
      <c r="Z41" s="458"/>
      <c r="AA41" s="458"/>
    </row>
    <row r="42" customFormat="false" ht="12.75" hidden="false" customHeight="false" outlineLevel="0" collapsed="false">
      <c r="A42" s="39"/>
      <c r="B42" s="39"/>
      <c r="C42" s="39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458"/>
      <c r="AA42" s="458"/>
    </row>
    <row r="43" customFormat="false" ht="12.75" hidden="false" customHeight="false" outlineLevel="0" collapsed="false">
      <c r="A43" s="39" t="s">
        <v>364</v>
      </c>
      <c r="B43" s="482"/>
      <c r="C43" s="39"/>
      <c r="D43" s="181" t="n">
        <f aca="false">IF(D41&lt;0,-D41+C43-C44,C43-C44)</f>
        <v>0</v>
      </c>
      <c r="E43" s="181" t="n">
        <f aca="false">IF(E41&lt;0,-E41+D43-D44,D43-D44)</f>
        <v>0</v>
      </c>
      <c r="F43" s="181" t="n">
        <f aca="false">IF(F41&lt;0,-F41+E43-E44,E43-E44)</f>
        <v>0</v>
      </c>
      <c r="G43" s="181" t="n">
        <f aca="false">IF(G41&lt;0,-G41+F43-F44,F43-F44)</f>
        <v>0</v>
      </c>
      <c r="H43" s="181" t="n">
        <f aca="false">IF(H41&lt;0,-H41+G43-G44,G43-G44)</f>
        <v>0</v>
      </c>
      <c r="I43" s="181" t="n">
        <f aca="false">IF(I41&lt;0,-I41+H43-H44,H43-H44)</f>
        <v>0</v>
      </c>
      <c r="J43" s="181" t="n">
        <f aca="false">IF(J41&lt;0,-J41+I43-I44,I43-I44)</f>
        <v>0</v>
      </c>
      <c r="K43" s="181" t="n">
        <f aca="false">IF(K41&lt;0,-K41+J43-J44,J43-J44)</f>
        <v>0</v>
      </c>
      <c r="L43" s="181" t="n">
        <f aca="false">IF(L41&lt;0,-L41+K43-K44,K43-K44)</f>
        <v>0</v>
      </c>
      <c r="M43" s="181" t="n">
        <f aca="false">IF(M41&lt;0,-M41+L43-L44,L43-L44)</f>
        <v>0</v>
      </c>
      <c r="N43" s="181" t="n">
        <f aca="false">IF(N41&lt;0,-N41+M43-M44,M43-M44)</f>
        <v>0</v>
      </c>
      <c r="O43" s="181" t="n">
        <f aca="false">IF(O41&lt;0,-O41+N43-N44,N43-N44)</f>
        <v>0</v>
      </c>
      <c r="P43" s="181" t="n">
        <f aca="false">IF(P41&lt;0,-P41+O43-O44,O43-O44)</f>
        <v>0</v>
      </c>
      <c r="Q43" s="181" t="n">
        <f aca="false">IF(Q41&lt;0,-Q41+P43-P44,P43-P44)</f>
        <v>0</v>
      </c>
      <c r="R43" s="181" t="n">
        <f aca="false">IF(R41&lt;0,-R41+Q43-Q44,Q43-Q44)</f>
        <v>0</v>
      </c>
      <c r="S43" s="181" t="n">
        <f aca="false">IF(S41&lt;0,-S41+R43-R44,R43-R44)</f>
        <v>0</v>
      </c>
      <c r="T43" s="181" t="n">
        <f aca="false">IF(T41&lt;0,-T41+S43-S44,S43-S44)</f>
        <v>0</v>
      </c>
      <c r="U43" s="181" t="n">
        <f aca="false">IF(U41&lt;0,-U41+T43-T44,T43-T44)</f>
        <v>0</v>
      </c>
      <c r="V43" s="181" t="n">
        <f aca="false">IF(V41&lt;0,-V41+U43-U44,U43-U44)</f>
        <v>0</v>
      </c>
      <c r="W43" s="181" t="n">
        <f aca="false">IF(W41&lt;0,-W41+V43-V44,V43-V44)</f>
        <v>0</v>
      </c>
      <c r="X43" s="181" t="n">
        <f aca="false">IF(X41&lt;0,-X41+W43-W44,W43-W44)</f>
        <v>0</v>
      </c>
      <c r="Y43" s="181" t="n">
        <f aca="false">IF(Y41&lt;0,-Y41+X43-X44,X43-X44)</f>
        <v>0</v>
      </c>
      <c r="Z43" s="458"/>
      <c r="AA43" s="458"/>
    </row>
    <row r="44" customFormat="false" ht="12.75" hidden="false" customHeight="false" outlineLevel="0" collapsed="false">
      <c r="A44" s="39" t="s">
        <v>353</v>
      </c>
      <c r="B44" s="482"/>
      <c r="C44" s="39"/>
      <c r="D44" s="181" t="n">
        <v>0</v>
      </c>
      <c r="E44" s="181" t="n">
        <f aca="false">IF(E41&lt;0,0,IF(E43&gt;E41,E41,E43))</f>
        <v>0</v>
      </c>
      <c r="F44" s="181" t="n">
        <f aca="false">IF(F41&lt;0,0,IF(F43&gt;F41,F41,F43))</f>
        <v>0</v>
      </c>
      <c r="G44" s="181" t="n">
        <f aca="false">IF(G41&lt;0,0,IF(G43&gt;G41,G41,G43))</f>
        <v>0</v>
      </c>
      <c r="H44" s="181" t="n">
        <f aca="false">IF(H41&lt;0,0,IF(H43&gt;H41,H41,H43))</f>
        <v>0</v>
      </c>
      <c r="I44" s="181" t="n">
        <f aca="false">IF(I41&lt;0,0,IF(I43&gt;I41,I41,I43))</f>
        <v>0</v>
      </c>
      <c r="J44" s="181" t="n">
        <f aca="false">IF(J41&lt;0,0,IF(J43&gt;J41,J41,J43))</f>
        <v>0</v>
      </c>
      <c r="K44" s="181" t="n">
        <f aca="false">IF(K41&lt;0,0,IF(K43&gt;K41,K41,K43))</f>
        <v>0</v>
      </c>
      <c r="L44" s="181" t="n">
        <f aca="false">IF(L41&lt;0,0,IF(L43&gt;L41,L41,L43))</f>
        <v>0</v>
      </c>
      <c r="M44" s="181" t="n">
        <f aca="false">IF(M41&lt;0,0,IF(M43&gt;M41,M41,M43))</f>
        <v>0</v>
      </c>
      <c r="N44" s="181" t="n">
        <f aca="false">IF(N41&lt;0,0,IF(N43&gt;N41,N41,N43))</f>
        <v>0</v>
      </c>
      <c r="O44" s="181" t="n">
        <f aca="false">IF(O41&lt;0,0,IF(O43&gt;O41,O41,O43))</f>
        <v>0</v>
      </c>
      <c r="P44" s="181" t="n">
        <f aca="false">IF(P41&lt;0,0,IF(P43&gt;P41,P41,P43))</f>
        <v>0</v>
      </c>
      <c r="Q44" s="181" t="n">
        <f aca="false">IF(Q41&lt;0,0,IF(Q43&gt;Q41,Q41,Q43))</f>
        <v>0</v>
      </c>
      <c r="R44" s="181" t="n">
        <f aca="false">IF(R41&lt;0,0,IF(R43&gt;R41,R41,R43))</f>
        <v>0</v>
      </c>
      <c r="S44" s="181" t="n">
        <f aca="false">IF(S41&lt;0,0,IF(S43&gt;S41,S41,S43))</f>
        <v>0</v>
      </c>
      <c r="T44" s="181" t="n">
        <f aca="false">IF(T41&lt;0,0,IF(T43&gt;T41,T41,T43))</f>
        <v>0</v>
      </c>
      <c r="U44" s="181" t="n">
        <f aca="false">IF(U41&lt;0,0,IF(U43&gt;U41,U41,U43))</f>
        <v>0</v>
      </c>
      <c r="V44" s="181" t="n">
        <f aca="false">IF(V41&lt;0,0,IF(V43&gt;V41,V41,V43))</f>
        <v>0</v>
      </c>
      <c r="W44" s="181" t="n">
        <f aca="false">IF(W41&lt;0,0,IF(W43&gt;W41,W41,W43))</f>
        <v>0</v>
      </c>
      <c r="X44" s="181" t="n">
        <f aca="false">IF(X41&lt;0,0,IF(X43&gt;X41,X41,X43))</f>
        <v>0</v>
      </c>
      <c r="Y44" s="181" t="n">
        <f aca="false">IF(Y41&lt;0,0,IF(Y43&gt;Y41,Y41,Y43))</f>
        <v>0</v>
      </c>
      <c r="Z44" s="450"/>
      <c r="AA44" s="450"/>
    </row>
    <row r="45" customFormat="false" ht="12.75" hidden="false" customHeight="false" outlineLevel="0" collapsed="false">
      <c r="A45" s="39"/>
      <c r="B45" s="482"/>
      <c r="C45" s="39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458"/>
      <c r="AA45" s="458"/>
    </row>
    <row r="46" customFormat="false" ht="12.75" hidden="false" customHeight="false" outlineLevel="0" collapsed="false">
      <c r="A46" s="178" t="s">
        <v>365</v>
      </c>
      <c r="B46" s="482"/>
      <c r="C46" s="178"/>
      <c r="D46" s="314" t="n">
        <f aca="false">IF(D41&lt;0,0,(D41-D44))</f>
        <v>136.777408428266</v>
      </c>
      <c r="E46" s="314" t="n">
        <f aca="false">IF(E41&lt;0,0,(E41-E44))</f>
        <v>125.214080073888</v>
      </c>
      <c r="F46" s="314" t="n">
        <f aca="false">IF(F41&lt;0,0,(F41-F44))</f>
        <v>445.057907841663</v>
      </c>
      <c r="G46" s="314" t="n">
        <f aca="false">IF(G41&lt;0,0,(G41-G44))</f>
        <v>4459.66578436328</v>
      </c>
      <c r="H46" s="314" t="n">
        <f aca="false">IF(H41&lt;0,0,(H41-H44))</f>
        <v>8683.71115113444</v>
      </c>
      <c r="I46" s="314" t="n">
        <f aca="false">IF(I41&lt;0,0,(I41-I44))</f>
        <v>9067.90077295462</v>
      </c>
      <c r="J46" s="314" t="n">
        <f aca="false">IF(J41&lt;0,0,(J41-J44))</f>
        <v>9329.59533953457</v>
      </c>
      <c r="K46" s="314" t="n">
        <f aca="false">IF(K41&lt;0,0,(K41-K44))</f>
        <v>9480.20693996647</v>
      </c>
      <c r="L46" s="314" t="n">
        <f aca="false">IF(L41&lt;0,0,(L41-L44))</f>
        <v>9844.94893813424</v>
      </c>
      <c r="M46" s="314" t="n">
        <f aca="false">IF(M41&lt;0,0,(M41-M44))</f>
        <v>9998.24841586638</v>
      </c>
      <c r="N46" s="314" t="n">
        <f aca="false">IF(N41&lt;0,0,(N41-N44))</f>
        <v>10379.899964593</v>
      </c>
      <c r="O46" s="314" t="n">
        <f aca="false">IF(O41&lt;0,0,(O41-O44))</f>
        <v>10278.8344850395</v>
      </c>
      <c r="P46" s="314" t="n">
        <f aca="false">IF(P41&lt;0,0,(P41-P44))</f>
        <v>10695.7618604102</v>
      </c>
      <c r="Q46" s="314" t="n">
        <f aca="false">IF(Q41&lt;0,0,(Q41-Q44))</f>
        <v>10880.3383433761</v>
      </c>
      <c r="R46" s="314" t="n">
        <f aca="false">IF(R41&lt;0,0,(R41-R44))</f>
        <v>11068.5189139465</v>
      </c>
      <c r="S46" s="314" t="n">
        <f aca="false">IF(S41&lt;0,0,(S41-S44))</f>
        <v>12216.7727118795</v>
      </c>
      <c r="T46" s="314" t="n">
        <f aca="false">IF(T41&lt;0,0,(T41-T44))</f>
        <v>13371.5531012203</v>
      </c>
      <c r="U46" s="314" t="n">
        <f aca="false">IF(U41&lt;0,0,(U41-U44))</f>
        <v>13559.482028785</v>
      </c>
      <c r="V46" s="314" t="n">
        <f aca="false">IF(V41&lt;0,0,(V41-V44))</f>
        <v>13740.1131589369</v>
      </c>
      <c r="W46" s="314" t="n">
        <f aca="false">IF(W41&lt;0,0,(W41-W44))</f>
        <v>13877.7383171438</v>
      </c>
      <c r="X46" s="314" t="n">
        <f aca="false">IF(X41&lt;0,0,(X41-X44))</f>
        <v>13987.4870092552</v>
      </c>
      <c r="Y46" s="314" t="n">
        <f aca="false">IF(Y41&lt;0,0,(Y41-Y44))</f>
        <v>14169.3777551489</v>
      </c>
      <c r="Z46" s="486"/>
      <c r="AA46" s="486"/>
    </row>
    <row r="47" customFormat="false" ht="12.75" hidden="false" customHeight="false" outlineLevel="0" collapsed="false">
      <c r="A47" s="178"/>
      <c r="B47" s="482"/>
      <c r="C47" s="178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486"/>
      <c r="AA47" s="486"/>
    </row>
    <row r="48" customFormat="false" ht="12.75" hidden="false" customHeight="false" outlineLevel="0" collapsed="false">
      <c r="A48" s="0"/>
      <c r="B48" s="0"/>
      <c r="C48" s="0"/>
      <c r="D48" s="0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</row>
    <row r="49" customFormat="false" ht="12.75" hidden="false" customHeight="false" outlineLevel="0" collapsed="false">
      <c r="A49" s="0"/>
      <c r="B49" s="0"/>
      <c r="C49" s="0"/>
      <c r="D49" s="0"/>
      <c r="Z49" s="274"/>
      <c r="AA49" s="274"/>
    </row>
    <row r="50" customFormat="false" ht="12.75" hidden="false" customHeight="false" outlineLevel="0" collapsed="false">
      <c r="A50" s="0"/>
      <c r="B50" s="0"/>
      <c r="C50" s="0"/>
      <c r="D50" s="0"/>
      <c r="E50" s="318"/>
      <c r="Z50" s="274"/>
      <c r="AA50" s="274"/>
    </row>
    <row r="51" customFormat="false" ht="12.75" hidden="false" customHeight="false" outlineLevel="0" collapsed="false">
      <c r="A51" s="0"/>
      <c r="B51" s="0"/>
      <c r="C51" s="0"/>
      <c r="D51" s="0"/>
      <c r="Z51" s="274"/>
      <c r="AA51" s="274"/>
    </row>
    <row r="52" customFormat="false" ht="12.75" hidden="false" customHeight="false" outlineLevel="0" collapsed="false">
      <c r="Z52" s="274"/>
      <c r="AA52" s="274"/>
    </row>
    <row r="53" customFormat="false" ht="12.75" hidden="false" customHeight="false" outlineLevel="0" collapsed="false">
      <c r="Z53" s="274"/>
      <c r="AA53" s="274"/>
    </row>
    <row r="54" customFormat="false" ht="12.75" hidden="false" customHeight="false" outlineLevel="0" collapsed="false">
      <c r="Z54" s="274"/>
      <c r="AA54" s="274"/>
    </row>
    <row r="55" customFormat="false" ht="12.75" hidden="false" customHeight="false" outlineLevel="0" collapsed="false">
      <c r="Z55" s="274"/>
      <c r="AA55" s="274"/>
    </row>
    <row r="56" customFormat="false" ht="12.75" hidden="false" customHeight="false" outlineLevel="0" collapsed="false">
      <c r="Z56" s="274"/>
      <c r="AA56" s="274"/>
    </row>
    <row r="57" customFormat="false" ht="12.75" hidden="false" customHeight="false" outlineLevel="0" collapsed="false">
      <c r="Z57" s="274"/>
      <c r="AA57" s="274"/>
    </row>
    <row r="58" customFormat="false" ht="12.75" hidden="false" customHeight="false" outlineLevel="0" collapsed="false">
      <c r="Z58" s="274"/>
      <c r="AA58" s="2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27.14"/>
    <col collapsed="false" customWidth="true" hidden="false" outlineLevel="0" max="3" min="3" style="0" width="1.85"/>
    <col collapsed="false" customWidth="true" hidden="false" outlineLevel="0" max="4" min="4" style="0" width="3.99"/>
  </cols>
  <sheetData>
    <row r="2" customFormat="false" ht="12.75" hidden="false" customHeight="false" outlineLevel="0" collapsed="false">
      <c r="B2" s="56" t="s">
        <v>24</v>
      </c>
      <c r="C2" s="56"/>
      <c r="D2" s="56" t="s">
        <v>25</v>
      </c>
      <c r="E2" s="56"/>
      <c r="F2" s="56"/>
      <c r="G2" s="56"/>
      <c r="H2" s="56"/>
      <c r="I2" s="56"/>
    </row>
    <row r="3" customFormat="false" ht="12.75" hidden="false" customHeight="false" outlineLevel="0" collapsed="false">
      <c r="B3" s="57" t="s">
        <v>26</v>
      </c>
      <c r="C3" s="58"/>
      <c r="D3" s="58"/>
      <c r="E3" s="58"/>
      <c r="F3" s="58"/>
      <c r="G3" s="58"/>
      <c r="H3" s="58"/>
      <c r="I3" s="58"/>
    </row>
    <row r="4" customFormat="false" ht="12.75" hidden="false" customHeight="false" outlineLevel="0" collapsed="false">
      <c r="B4" s="57" t="s">
        <v>27</v>
      </c>
      <c r="C4" s="58"/>
      <c r="D4" s="58"/>
      <c r="E4" s="58"/>
      <c r="F4" s="58"/>
      <c r="G4" s="58"/>
      <c r="H4" s="58"/>
      <c r="I4" s="58"/>
    </row>
    <row r="5" customFormat="false" ht="12.75" hidden="false" customHeight="false" outlineLevel="0" collapsed="false">
      <c r="B5" s="0" t="s">
        <v>28</v>
      </c>
      <c r="D5" s="0" t="s">
        <v>29</v>
      </c>
    </row>
    <row r="6" customFormat="false" ht="12.75" hidden="false" customHeight="false" outlineLevel="0" collapsed="false">
      <c r="B6" s="0" t="s">
        <v>30</v>
      </c>
    </row>
    <row r="7" customFormat="false" ht="12.75" hidden="false" customHeight="false" outlineLevel="0" collapsed="false">
      <c r="B7" s="0" t="s">
        <v>31</v>
      </c>
      <c r="D7" s="0" t="s">
        <v>32</v>
      </c>
    </row>
    <row r="8" customFormat="false" ht="12.75" hidden="false" customHeight="false" outlineLevel="0" collapsed="false">
      <c r="B8" s="0" t="s">
        <v>33</v>
      </c>
      <c r="D8" s="0" t="s">
        <v>34</v>
      </c>
    </row>
    <row r="9" customFormat="false" ht="12.75" hidden="false" customHeight="false" outlineLevel="0" collapsed="false">
      <c r="B9" s="0" t="s">
        <v>35</v>
      </c>
      <c r="D9" s="0" t="s">
        <v>36</v>
      </c>
    </row>
    <row r="10" customFormat="false" ht="12.75" hidden="false" customHeight="false" outlineLevel="0" collapsed="false">
      <c r="B10" s="0" t="s">
        <v>37</v>
      </c>
      <c r="D10" s="0" t="s">
        <v>38</v>
      </c>
    </row>
    <row r="11" customFormat="false" ht="12.75" hidden="false" customHeight="false" outlineLevel="0" collapsed="false">
      <c r="B11" s="0" t="s">
        <v>39</v>
      </c>
      <c r="D11" s="0" t="s">
        <v>38</v>
      </c>
    </row>
    <row r="12" customFormat="false" ht="12.75" hidden="false" customHeight="false" outlineLevel="0" collapsed="false">
      <c r="B12" s="0" t="s">
        <v>40</v>
      </c>
      <c r="D12" s="0" t="s">
        <v>41</v>
      </c>
    </row>
    <row r="13" customFormat="false" ht="12.75" hidden="false" customHeight="false" outlineLevel="0" collapsed="false">
      <c r="B13" s="0" t="s">
        <v>42</v>
      </c>
      <c r="D13" s="0" t="s">
        <v>43</v>
      </c>
    </row>
    <row r="14" customFormat="false" ht="12.75" hidden="false" customHeight="false" outlineLevel="0" collapsed="false">
      <c r="B14" s="0" t="s">
        <v>44</v>
      </c>
      <c r="D14" s="0" t="s">
        <v>45</v>
      </c>
    </row>
    <row r="15" customFormat="false" ht="12.75" hidden="false" customHeight="false" outlineLevel="0" collapsed="false">
      <c r="B15" s="0" t="s">
        <v>46</v>
      </c>
      <c r="D15" s="0" t="s">
        <v>47</v>
      </c>
    </row>
    <row r="16" customFormat="false" ht="12.75" hidden="false" customHeight="false" outlineLevel="0" collapsed="false">
      <c r="B16" s="0" t="s">
        <v>48</v>
      </c>
      <c r="D16" s="0" t="s">
        <v>47</v>
      </c>
    </row>
    <row r="18" customFormat="false" ht="12.75" hidden="false" customHeight="false" outlineLevel="0" collapsed="false">
      <c r="B18" s="59" t="s">
        <v>49</v>
      </c>
    </row>
    <row r="19" customFormat="false" ht="12.75" hidden="false" customHeight="false" outlineLevel="0" collapsed="false">
      <c r="B19" s="0" t="s">
        <v>50</v>
      </c>
      <c r="D19" s="0" t="s">
        <v>51</v>
      </c>
    </row>
    <row r="20" customFormat="false" ht="12.75" hidden="false" customHeight="false" outlineLevel="0" collapsed="false">
      <c r="B20" s="0" t="s">
        <v>52</v>
      </c>
      <c r="D20" s="0" t="s">
        <v>51</v>
      </c>
    </row>
    <row r="22" customFormat="false" ht="12.75" hidden="false" customHeight="false" outlineLevel="0" collapsed="false">
      <c r="B22" s="0" t="s">
        <v>53</v>
      </c>
      <c r="D22" s="0" t="s">
        <v>54</v>
      </c>
    </row>
    <row r="23" customFormat="false" ht="12.75" hidden="false" customHeight="false" outlineLevel="0" collapsed="false">
      <c r="B23" s="0" t="s">
        <v>55</v>
      </c>
      <c r="D23" s="0" t="s">
        <v>56</v>
      </c>
    </row>
    <row r="24" customFormat="false" ht="12.75" hidden="false" customHeight="false" outlineLevel="0" collapsed="false">
      <c r="B24" s="0" t="s">
        <v>57</v>
      </c>
      <c r="D24" s="0" t="s">
        <v>58</v>
      </c>
    </row>
    <row r="27" customFormat="false" ht="12.75" hidden="false" customHeight="false" outlineLevel="0" collapsed="false">
      <c r="B27" s="59" t="s">
        <v>59</v>
      </c>
    </row>
    <row r="28" customFormat="false" ht="12.75" hidden="false" customHeight="false" outlineLevel="0" collapsed="false">
      <c r="B28" s="0" t="s">
        <v>60</v>
      </c>
      <c r="D28" s="0" t="s">
        <v>61</v>
      </c>
    </row>
    <row r="29" customFormat="false" ht="12.75" hidden="false" customHeight="false" outlineLevel="0" collapsed="false">
      <c r="B29" s="0" t="s">
        <v>62</v>
      </c>
      <c r="D29" s="0" t="s">
        <v>63</v>
      </c>
    </row>
    <row r="30" customFormat="false" ht="12.75" hidden="false" customHeight="false" outlineLevel="0" collapsed="false">
      <c r="D30" s="0" t="s">
        <v>64</v>
      </c>
    </row>
    <row r="31" customFormat="false" ht="12.75" hidden="false" customHeight="false" outlineLevel="0" collapsed="false">
      <c r="B31" s="0" t="s">
        <v>65</v>
      </c>
      <c r="D31" s="0" t="s">
        <v>66</v>
      </c>
    </row>
    <row r="32" customFormat="false" ht="12.75" hidden="false" customHeight="false" outlineLevel="0" collapsed="false">
      <c r="B32" s="0" t="s">
        <v>67</v>
      </c>
    </row>
    <row r="33" customFormat="false" ht="12.75" hidden="false" customHeight="false" outlineLevel="0" collapsed="false">
      <c r="B33" s="0" t="s">
        <v>68</v>
      </c>
    </row>
    <row r="34" customFormat="false" ht="12.75" hidden="false" customHeight="false" outlineLevel="0" collapsed="false">
      <c r="B34" s="0" t="s">
        <v>69</v>
      </c>
    </row>
    <row r="35" customFormat="false" ht="12.75" hidden="false" customHeight="false" outlineLevel="0" collapsed="false">
      <c r="B35" s="0" t="s">
        <v>70</v>
      </c>
    </row>
    <row r="36" customFormat="false" ht="12.75" hidden="false" customHeight="false" outlineLevel="0" collapsed="false">
      <c r="B36" s="0" t="s">
        <v>71</v>
      </c>
    </row>
    <row r="37" customFormat="false" ht="12.75" hidden="false" customHeight="false" outlineLevel="0" collapsed="false">
      <c r="B37" s="0" t="s">
        <v>72</v>
      </c>
    </row>
    <row r="39" customFormat="false" ht="12.75" hidden="false" customHeight="false" outlineLevel="0" collapsed="false">
      <c r="B39" s="59" t="s">
        <v>73</v>
      </c>
    </row>
    <row r="40" customFormat="false" ht="12.75" hidden="false" customHeight="false" outlineLevel="0" collapsed="false">
      <c r="B40" s="0" t="s">
        <v>74</v>
      </c>
    </row>
    <row r="41" customFormat="false" ht="12.75" hidden="false" customHeight="false" outlineLevel="0" collapsed="false">
      <c r="B41" s="0" t="s">
        <v>75</v>
      </c>
    </row>
    <row r="42" customFormat="false" ht="12.75" hidden="false" customHeight="false" outlineLevel="0" collapsed="false">
      <c r="B42" s="0" t="s">
        <v>76</v>
      </c>
    </row>
  </sheetData>
  <mergeCells count="1">
    <mergeCell ref="D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60" t="s">
        <v>77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30"/>
      <c r="B7" s="31" t="s">
        <v>78</v>
      </c>
      <c r="C7" s="31" t="s">
        <v>78</v>
      </c>
      <c r="D7" s="61" t="s">
        <v>16</v>
      </c>
      <c r="E7" s="61"/>
    </row>
    <row r="8" customFormat="false" ht="16.5" hidden="false" customHeight="false" outlineLevel="0" collapsed="false">
      <c r="A8" s="14"/>
      <c r="B8" s="34" t="s">
        <v>79</v>
      </c>
      <c r="C8" s="34" t="s">
        <v>80</v>
      </c>
      <c r="D8" s="61" t="s">
        <v>81</v>
      </c>
      <c r="E8" s="61"/>
    </row>
    <row r="9" customFormat="false" ht="15.75" hidden="false" customHeight="false" outlineLevel="0" collapsed="false">
      <c r="A9" s="62"/>
      <c r="B9" s="63" t="s">
        <v>82</v>
      </c>
      <c r="C9" s="63" t="s">
        <v>82</v>
      </c>
      <c r="D9" s="63" t="s">
        <v>18</v>
      </c>
      <c r="E9" s="64" t="s">
        <v>83</v>
      </c>
    </row>
    <row r="10" customFormat="false" ht="16.5" hidden="false" customHeight="false" outlineLevel="0" collapsed="false">
      <c r="A10" s="65" t="s">
        <v>84</v>
      </c>
      <c r="B10" s="66" t="e">
        <f aca="false">Assumptions!C84</f>
        <v>#VALUE!</v>
      </c>
      <c r="C10" s="66" t="e">
        <f aca="false">Assumptions!C85</f>
        <v>#VALUE!</v>
      </c>
      <c r="D10" s="67" t="n">
        <v>1.28889637492317</v>
      </c>
      <c r="E10" s="68" t="n">
        <v>1.39279213518603</v>
      </c>
    </row>
    <row r="11" customFormat="false" ht="15.75" hidden="false" customHeight="false" outlineLevel="0" collapsed="false">
      <c r="A11" s="69"/>
      <c r="C11" s="70"/>
      <c r="D11" s="71"/>
      <c r="E11" s="71"/>
    </row>
    <row r="12" customFormat="false" ht="13.5" hidden="false" customHeight="false" outlineLevel="0" collapsed="false"/>
    <row r="13" customFormat="false" ht="15.75" hidden="false" customHeight="false" outlineLevel="0" collapsed="false">
      <c r="A13" s="72" t="s">
        <v>85</v>
      </c>
      <c r="B13" s="73" t="n">
        <v>0.268861371278763</v>
      </c>
      <c r="C13" s="73" t="n">
        <v>0.268861371278763</v>
      </c>
      <c r="D13" s="74" t="n">
        <v>1.28889637492317</v>
      </c>
      <c r="E13" s="75" t="n">
        <v>1.39279213518603</v>
      </c>
    </row>
    <row r="14" customFormat="false" ht="15.75" hidden="false" customHeight="false" outlineLevel="0" collapsed="false">
      <c r="A14" s="52"/>
      <c r="B14" s="39"/>
      <c r="C14" s="76"/>
      <c r="D14" s="15"/>
      <c r="E14" s="16"/>
    </row>
    <row r="15" customFormat="false" ht="15.75" hidden="false" customHeight="false" outlineLevel="0" collapsed="false">
      <c r="A15" s="52"/>
      <c r="B15" s="39"/>
      <c r="C15" s="76"/>
      <c r="D15" s="15"/>
      <c r="E15" s="16"/>
    </row>
    <row r="16" customFormat="false" ht="15.75" hidden="false" customHeight="false" outlineLevel="0" collapsed="false">
      <c r="A16" s="52"/>
      <c r="B16" s="39"/>
      <c r="C16" s="76"/>
      <c r="D16" s="15"/>
      <c r="E16" s="16"/>
    </row>
    <row r="17" customFormat="false" ht="15.75" hidden="false" customHeight="false" outlineLevel="0" collapsed="false">
      <c r="A17" s="52"/>
      <c r="B17" s="39"/>
      <c r="C17" s="76"/>
      <c r="D17" s="15"/>
      <c r="E17" s="16"/>
    </row>
    <row r="18" customFormat="false" ht="15.75" hidden="false" customHeight="false" outlineLevel="0" collapsed="false">
      <c r="A18" s="52"/>
      <c r="B18" s="39"/>
      <c r="C18" s="76"/>
      <c r="D18" s="15"/>
      <c r="E18" s="16"/>
    </row>
    <row r="19" customFormat="false" ht="16.5" hidden="false" customHeight="false" outlineLevel="0" collapsed="false">
      <c r="A19" s="54"/>
      <c r="B19" s="36"/>
      <c r="C19" s="77"/>
      <c r="D19" s="78"/>
      <c r="E19" s="79"/>
    </row>
  </sheetData>
  <mergeCells count="2">
    <mergeCell ref="D7:E7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A63" colorId="64" zoomScale="75" zoomScaleNormal="75" zoomScalePageLayoutView="100" workbookViewId="0">
      <selection pane="topLeft" activeCell="C84" activeCellId="0" sqref="C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10.13"/>
    <col collapsed="false" customWidth="true" hidden="false" outlineLevel="0" max="7" min="7" style="1" width="14.14"/>
    <col collapsed="false" customWidth="true" hidden="false" outlineLevel="0" max="8" min="8" style="1" width="40.13"/>
    <col collapsed="false" customWidth="true" hidden="false" outlineLevel="0" max="9" min="9" style="1" width="14.41"/>
    <col collapsed="false" customWidth="true" hidden="false" outlineLevel="0" max="10" min="10" style="1" width="11.99"/>
    <col collapsed="false" customWidth="true" hidden="false" outlineLevel="0" max="11" min="11" style="1" width="11.42"/>
    <col collapsed="false" customWidth="true" hidden="false" outlineLevel="0" max="12" min="12" style="1" width="22.42"/>
    <col collapsed="false" customWidth="true" hidden="false" outlineLevel="0" max="13" min="13" style="1" width="18.99"/>
    <col collapsed="false" customWidth="true" hidden="false" outlineLevel="0" max="14" min="14" style="1" width="10.28"/>
    <col collapsed="false" customWidth="true" hidden="false" outlineLevel="0" max="26" min="15" style="1" width="12.85"/>
    <col collapsed="false" customWidth="true" hidden="false" outlineLevel="0" max="34" min="27" style="1" width="11.99"/>
    <col collapsed="false" customWidth="false" hidden="false" outlineLevel="0" max="35" min="35" style="1" width="9.14"/>
    <col collapsed="false" customWidth="true" hidden="false" outlineLevel="0" max="38" min="36" style="1" width="9.99"/>
    <col collapsed="false" customWidth="true" hidden="false" outlineLevel="0" max="39" min="39" style="1" width="11.99"/>
    <col collapsed="false" customWidth="true" hidden="false" outlineLevel="0" max="40" min="40" style="1" width="17.56"/>
    <col collapsed="false" customWidth="true" hidden="false" outlineLevel="0" max="41" min="41" style="1" width="22.42"/>
    <col collapsed="false" customWidth="true" hidden="false" outlineLevel="0" max="42" min="42" style="1" width="18.99"/>
    <col collapsed="false" customWidth="true" hidden="false" outlineLevel="0" max="43" min="43" style="1" width="10.28"/>
    <col collapsed="false" customWidth="true" hidden="false" outlineLevel="0" max="63" min="44" style="1" width="13.14"/>
    <col collapsed="false" customWidth="false" hidden="false" outlineLevel="0" max="64" min="64" style="1" width="9.14"/>
    <col collapsed="false" customWidth="true" hidden="false" outlineLevel="0" max="74" min="65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82" min="82" style="1" width="9.14"/>
    <col collapsed="false" customWidth="true" hidden="false" outlineLevel="0" max="88" min="83" style="1" width="9.99"/>
    <col collapsed="false" customWidth="false" hidden="false" outlineLevel="0" max="257" min="89" style="1" width="9.14"/>
  </cols>
  <sheetData>
    <row r="1" customFormat="false" ht="25.5" hidden="true" customHeight="false" outlineLevel="0" collapsed="false">
      <c r="A1" s="80" t="s">
        <v>86</v>
      </c>
      <c r="J1" s="81"/>
      <c r="AM1" s="81"/>
    </row>
    <row r="2" customFormat="false" ht="13.5" hidden="false" customHeight="true" outlineLevel="0" collapsed="false">
      <c r="A2" s="80"/>
      <c r="J2" s="81"/>
      <c r="AM2" s="81"/>
    </row>
    <row r="3" customFormat="false" ht="19.5" hidden="false" customHeight="true" outlineLevel="0" collapsed="false">
      <c r="A3" s="82" t="s">
        <v>87</v>
      </c>
      <c r="J3" s="81"/>
      <c r="AM3" s="81"/>
    </row>
    <row r="4" customFormat="false" ht="19.5" hidden="false" customHeight="true" outlineLevel="0" collapsed="false">
      <c r="A4" s="83"/>
      <c r="B4" s="84"/>
      <c r="C4" s="84"/>
      <c r="D4" s="84"/>
      <c r="E4" s="84"/>
      <c r="F4" s="84"/>
      <c r="G4" s="84"/>
      <c r="H4" s="84"/>
      <c r="I4" s="84"/>
      <c r="J4" s="85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5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customFormat="false" ht="19.5" hidden="false" customHeight="true" outlineLevel="0" collapsed="false">
      <c r="A5" s="2" t="s">
        <v>88</v>
      </c>
      <c r="B5" s="84"/>
      <c r="C5" s="84"/>
      <c r="D5" s="84"/>
    </row>
    <row r="7" customFormat="false" ht="13.5" hidden="false" customHeight="false" outlineLevel="0" collapsed="false"/>
    <row r="8" customFormat="false" ht="15.75" hidden="false" customHeight="false" outlineLevel="0" collapsed="false">
      <c r="A8" s="86" t="s">
        <v>89</v>
      </c>
      <c r="B8" s="11"/>
      <c r="C8" s="11"/>
      <c r="D8" s="87"/>
      <c r="E8" s="88"/>
      <c r="F8" s="39"/>
      <c r="G8" s="89" t="s">
        <v>90</v>
      </c>
      <c r="H8" s="90"/>
      <c r="I8" s="91"/>
      <c r="J8" s="92"/>
      <c r="L8" s="89" t="s">
        <v>91</v>
      </c>
      <c r="M8" s="90"/>
      <c r="N8" s="91"/>
      <c r="O8" s="91"/>
      <c r="P8" s="13"/>
    </row>
    <row r="9" customFormat="false" ht="15.75" hidden="false" customHeight="false" outlineLevel="0" collapsed="false">
      <c r="A9" s="52"/>
      <c r="B9" s="39"/>
      <c r="C9" s="39"/>
      <c r="D9" s="39"/>
      <c r="E9" s="53"/>
      <c r="F9" s="39"/>
      <c r="G9" s="93"/>
      <c r="H9" s="94"/>
      <c r="I9" s="94"/>
      <c r="J9" s="53"/>
      <c r="L9" s="52"/>
      <c r="M9" s="39"/>
      <c r="N9" s="95"/>
      <c r="O9" s="39"/>
      <c r="P9" s="53"/>
    </row>
    <row r="10" customFormat="false" ht="15.75" hidden="false" customHeight="false" outlineLevel="0" collapsed="false">
      <c r="A10" s="96" t="s">
        <v>92</v>
      </c>
      <c r="B10" s="39"/>
      <c r="C10" s="18" t="s">
        <v>93</v>
      </c>
      <c r="D10" s="97" t="s">
        <v>94</v>
      </c>
      <c r="E10" s="98" t="s">
        <v>95</v>
      </c>
      <c r="F10" s="39"/>
      <c r="G10" s="93" t="s">
        <v>96</v>
      </c>
      <c r="H10" s="39"/>
      <c r="I10" s="99" t="s">
        <v>97</v>
      </c>
      <c r="J10" s="53"/>
      <c r="L10" s="14"/>
      <c r="M10" s="94" t="s">
        <v>98</v>
      </c>
      <c r="N10" s="95" t="s">
        <v>99</v>
      </c>
      <c r="O10" s="95" t="s">
        <v>100</v>
      </c>
      <c r="P10" s="19" t="s">
        <v>101</v>
      </c>
    </row>
    <row r="11" customFormat="false" ht="15.75" hidden="false" customHeight="false" outlineLevel="0" collapsed="false">
      <c r="A11" s="100" t="s">
        <v>102</v>
      </c>
      <c r="B11" s="39"/>
      <c r="C11" s="101" t="n">
        <f aca="false">D11/$D$14</f>
        <v>0.238095238095238</v>
      </c>
      <c r="D11" s="102" t="n">
        <v>25000</v>
      </c>
      <c r="E11" s="103" t="n">
        <f aca="false">D11/$I$26</f>
        <v>135.869565217391</v>
      </c>
      <c r="F11" s="39"/>
      <c r="G11" s="93" t="s">
        <v>103</v>
      </c>
      <c r="H11" s="94"/>
      <c r="I11" s="104" t="n">
        <v>4</v>
      </c>
      <c r="J11" s="105"/>
      <c r="L11" s="106" t="s">
        <v>104</v>
      </c>
      <c r="M11" s="107"/>
      <c r="N11" s="107"/>
      <c r="O11" s="107"/>
      <c r="P11" s="16"/>
    </row>
    <row r="12" customFormat="false" ht="15.75" hidden="false" customHeight="false" outlineLevel="0" collapsed="false">
      <c r="A12" s="100" t="s">
        <v>105</v>
      </c>
      <c r="B12" s="39"/>
      <c r="C12" s="108" t="n">
        <f aca="false">D12/D14</f>
        <v>0.761904761904762</v>
      </c>
      <c r="D12" s="109" t="n">
        <f aca="false">Assumptions!B51+Assumptions!C51+Assumptions!D51</f>
        <v>80000</v>
      </c>
      <c r="E12" s="103" t="n">
        <f aca="false">D12/$I$26</f>
        <v>434.782608695652</v>
      </c>
      <c r="F12" s="39"/>
      <c r="G12" s="93" t="s">
        <v>106</v>
      </c>
      <c r="H12" s="94"/>
      <c r="I12" s="110" t="n">
        <v>46</v>
      </c>
      <c r="J12" s="105"/>
      <c r="L12" s="93" t="s">
        <v>107</v>
      </c>
      <c r="M12" s="111" t="n">
        <f aca="false">D18</f>
        <v>0</v>
      </c>
      <c r="N12" s="112" t="n">
        <v>15</v>
      </c>
      <c r="O12" s="113" t="s">
        <v>108</v>
      </c>
      <c r="P12" s="114" t="n">
        <v>0</v>
      </c>
    </row>
    <row r="13" customFormat="false" ht="15.75" hidden="false" customHeight="false" outlineLevel="0" collapsed="false">
      <c r="A13" s="115"/>
      <c r="B13" s="39"/>
      <c r="C13" s="116"/>
      <c r="D13" s="109"/>
      <c r="E13" s="103"/>
      <c r="F13" s="39"/>
      <c r="G13" s="93" t="s">
        <v>109</v>
      </c>
      <c r="H13" s="94"/>
      <c r="I13" s="104" t="n">
        <v>9332</v>
      </c>
      <c r="J13" s="105"/>
      <c r="L13" s="93" t="s">
        <v>110</v>
      </c>
      <c r="M13" s="111" t="n">
        <f aca="false">D31</f>
        <v>99618</v>
      </c>
      <c r="N13" s="112" t="n">
        <v>20</v>
      </c>
      <c r="O13" s="113" t="s">
        <v>111</v>
      </c>
      <c r="P13" s="114" t="n">
        <v>0</v>
      </c>
    </row>
    <row r="14" customFormat="false" ht="15.75" hidden="false" customHeight="false" outlineLevel="0" collapsed="false">
      <c r="A14" s="117" t="s">
        <v>112</v>
      </c>
      <c r="B14" s="39"/>
      <c r="C14" s="118" t="n">
        <f aca="false">D14/$D$14</f>
        <v>1</v>
      </c>
      <c r="D14" s="119" t="n">
        <f aca="false">SUM(D11:D12)</f>
        <v>105000</v>
      </c>
      <c r="E14" s="103" t="n">
        <f aca="false">D14/$I$26</f>
        <v>570.652173913044</v>
      </c>
      <c r="F14" s="39"/>
      <c r="G14" s="93" t="s">
        <v>113</v>
      </c>
      <c r="H14" s="94"/>
      <c r="I14" s="104" t="n">
        <v>1200</v>
      </c>
      <c r="J14" s="105"/>
      <c r="L14" s="93"/>
      <c r="M14" s="120"/>
      <c r="N14" s="121"/>
      <c r="O14" s="121"/>
      <c r="P14" s="122"/>
    </row>
    <row r="15" customFormat="false" ht="15.75" hidden="false" customHeight="false" outlineLevel="0" collapsed="false">
      <c r="A15" s="52"/>
      <c r="B15" s="39"/>
      <c r="C15" s="39"/>
      <c r="D15" s="39"/>
      <c r="E15" s="123"/>
      <c r="F15" s="39"/>
      <c r="G15" s="93" t="s">
        <v>114</v>
      </c>
      <c r="H15" s="94"/>
      <c r="I15" s="124" t="n">
        <v>1</v>
      </c>
      <c r="J15" s="105"/>
      <c r="L15" s="106" t="s">
        <v>115</v>
      </c>
      <c r="M15" s="120"/>
      <c r="N15" s="125"/>
      <c r="O15" s="121"/>
      <c r="P15" s="114"/>
    </row>
    <row r="16" customFormat="false" ht="15.75" hidden="false" customHeight="false" outlineLevel="0" collapsed="false">
      <c r="A16" s="52"/>
      <c r="B16" s="39"/>
      <c r="C16" s="39"/>
      <c r="D16" s="39"/>
      <c r="E16" s="123"/>
      <c r="F16" s="39"/>
      <c r="G16" s="93" t="s">
        <v>116</v>
      </c>
      <c r="H16" s="94"/>
      <c r="I16" s="126" t="n">
        <v>37621</v>
      </c>
      <c r="J16" s="105"/>
      <c r="L16" s="93" t="s">
        <v>107</v>
      </c>
      <c r="M16" s="111" t="n">
        <f aca="false">D18</f>
        <v>0</v>
      </c>
      <c r="N16" s="112" t="n">
        <v>30</v>
      </c>
      <c r="O16" s="113" t="s">
        <v>111</v>
      </c>
      <c r="P16" s="127" t="n">
        <v>0.1</v>
      </c>
    </row>
    <row r="17" customFormat="false" ht="16.5" hidden="false" customHeight="false" outlineLevel="0" collapsed="false">
      <c r="A17" s="96" t="s">
        <v>117</v>
      </c>
      <c r="B17" s="39"/>
      <c r="C17" s="18"/>
      <c r="D17" s="18"/>
      <c r="E17" s="103"/>
      <c r="F17" s="39"/>
      <c r="G17" s="14" t="s">
        <v>118</v>
      </c>
      <c r="H17" s="15"/>
      <c r="I17" s="128" t="n">
        <v>6</v>
      </c>
      <c r="J17" s="105"/>
      <c r="L17" s="129" t="s">
        <v>110</v>
      </c>
      <c r="M17" s="130" t="n">
        <f aca="false">D31</f>
        <v>99618</v>
      </c>
      <c r="N17" s="131" t="n">
        <v>20</v>
      </c>
      <c r="O17" s="132" t="s">
        <v>111</v>
      </c>
      <c r="P17" s="133" t="n">
        <v>0</v>
      </c>
    </row>
    <row r="18" customFormat="false" ht="15.75" hidden="false" customHeight="false" outlineLevel="0" collapsed="false">
      <c r="A18" s="134"/>
      <c r="B18" s="39"/>
      <c r="C18" s="135"/>
      <c r="D18" s="39"/>
      <c r="E18" s="123"/>
      <c r="F18" s="39"/>
      <c r="G18" s="93" t="s">
        <v>119</v>
      </c>
      <c r="H18" s="94"/>
      <c r="I18" s="126" t="n">
        <v>37377</v>
      </c>
      <c r="J18" s="105"/>
    </row>
    <row r="19" customFormat="false" ht="16.5" hidden="false" customHeight="false" outlineLevel="0" collapsed="false">
      <c r="A19" s="100" t="s">
        <v>120</v>
      </c>
      <c r="B19" s="39"/>
      <c r="C19" s="39"/>
      <c r="D19" s="39"/>
      <c r="E19" s="123"/>
      <c r="F19" s="39"/>
      <c r="G19" s="93" t="s">
        <v>121</v>
      </c>
      <c r="H19" s="39"/>
      <c r="I19" s="126" t="n">
        <v>37408</v>
      </c>
      <c r="J19" s="105"/>
    </row>
    <row r="20" customFormat="false" ht="15.75" hidden="false" customHeight="false" outlineLevel="0" collapsed="false">
      <c r="A20" s="14" t="s">
        <v>122</v>
      </c>
      <c r="B20" s="39"/>
      <c r="C20" s="136" t="n">
        <f aca="false">D20/$D$43</f>
        <v>0.0966981701741492</v>
      </c>
      <c r="D20" s="137" t="n">
        <v>56048</v>
      </c>
      <c r="E20" s="103" t="n">
        <f aca="false">D20/$I$26</f>
        <v>304.608695652174</v>
      </c>
      <c r="F20" s="39"/>
      <c r="G20" s="93" t="s">
        <v>123</v>
      </c>
      <c r="H20" s="138"/>
      <c r="I20" s="104" t="n">
        <v>20</v>
      </c>
      <c r="J20" s="105"/>
      <c r="L20" s="89" t="s">
        <v>124</v>
      </c>
      <c r="M20" s="90"/>
      <c r="N20" s="91"/>
      <c r="O20" s="139"/>
      <c r="P20" s="140"/>
    </row>
    <row r="21" customFormat="false" ht="16.5" hidden="false" customHeight="false" outlineLevel="0" collapsed="false">
      <c r="A21" s="14" t="s">
        <v>125</v>
      </c>
      <c r="B21" s="39"/>
      <c r="C21" s="136" t="n">
        <f aca="false">D21/$D$43</f>
        <v>0.052084303800089</v>
      </c>
      <c r="D21" s="137" t="n">
        <v>30189</v>
      </c>
      <c r="E21" s="103" t="n">
        <f aca="false">D21/$I$26</f>
        <v>164.070652173913</v>
      </c>
      <c r="F21" s="39"/>
      <c r="G21" s="129" t="s">
        <v>126</v>
      </c>
      <c r="H21" s="36"/>
      <c r="I21" s="141"/>
      <c r="J21" s="55"/>
      <c r="L21" s="14"/>
      <c r="M21" s="15"/>
      <c r="N21" s="94"/>
      <c r="O21" s="142"/>
      <c r="P21" s="53"/>
    </row>
    <row r="22" customFormat="false" ht="15.75" hidden="false" customHeight="false" outlineLevel="0" collapsed="false">
      <c r="A22" s="14" t="s">
        <v>127</v>
      </c>
      <c r="B22" s="39"/>
      <c r="C22" s="136" t="n">
        <f aca="false">D22/$D$43</f>
        <v>0.0103516453940354</v>
      </c>
      <c r="D22" s="137" t="n">
        <v>6000</v>
      </c>
      <c r="E22" s="103" t="n">
        <f aca="false">D22/$I$26</f>
        <v>32.6086956521739</v>
      </c>
      <c r="F22" s="39"/>
      <c r="G22" s="39"/>
      <c r="H22" s="39"/>
      <c r="I22" s="39"/>
      <c r="J22" s="142"/>
      <c r="L22" s="14" t="s">
        <v>128</v>
      </c>
      <c r="M22" s="15"/>
      <c r="N22" s="143" t="n">
        <v>0.35</v>
      </c>
      <c r="O22" s="142"/>
      <c r="P22" s="53"/>
    </row>
    <row r="23" customFormat="false" ht="16.5" hidden="false" customHeight="false" outlineLevel="0" collapsed="false">
      <c r="A23" s="14" t="s">
        <v>129</v>
      </c>
      <c r="B23" s="39"/>
      <c r="C23" s="136" t="n">
        <f aca="false">D23/$D$43</f>
        <v>0.00345054846467846</v>
      </c>
      <c r="D23" s="137" t="n">
        <v>2000</v>
      </c>
      <c r="E23" s="103" t="n">
        <f aca="false">D23/$I$26</f>
        <v>10.8695652173913</v>
      </c>
      <c r="F23" s="39"/>
      <c r="L23" s="14" t="s">
        <v>130</v>
      </c>
      <c r="M23" s="15"/>
      <c r="N23" s="144" t="n">
        <v>0.06</v>
      </c>
      <c r="O23" s="142"/>
      <c r="P23" s="53"/>
    </row>
    <row r="24" customFormat="false" ht="15.75" hidden="false" customHeight="false" outlineLevel="0" collapsed="false">
      <c r="A24" s="14" t="s">
        <v>131</v>
      </c>
      <c r="B24" s="39"/>
      <c r="C24" s="136" t="n">
        <f aca="false">D24/$D$43</f>
        <v>0</v>
      </c>
      <c r="D24" s="137" t="n">
        <v>0</v>
      </c>
      <c r="E24" s="103" t="n">
        <f aca="false">D24/$I$26</f>
        <v>0</v>
      </c>
      <c r="F24" s="39"/>
      <c r="G24" s="89" t="s">
        <v>132</v>
      </c>
      <c r="H24" s="90"/>
      <c r="I24" s="145"/>
      <c r="J24" s="146"/>
      <c r="L24" s="147" t="s">
        <v>133</v>
      </c>
      <c r="M24" s="148"/>
      <c r="N24" s="124" t="n">
        <v>0.0025</v>
      </c>
      <c r="O24" s="142"/>
      <c r="P24" s="149"/>
      <c r="Q24" s="0"/>
      <c r="R24" s="0"/>
      <c r="S24" s="0"/>
      <c r="T24" s="0"/>
      <c r="U24" s="0"/>
    </row>
    <row r="25" customFormat="false" ht="15.75" hidden="false" customHeight="false" outlineLevel="0" collapsed="false">
      <c r="A25" s="14" t="s">
        <v>134</v>
      </c>
      <c r="B25" s="39"/>
      <c r="C25" s="136" t="n">
        <f aca="false">D25/$D$43</f>
        <v>0</v>
      </c>
      <c r="D25" s="137" t="n">
        <v>0</v>
      </c>
      <c r="E25" s="103" t="n">
        <f aca="false">D25/$I$26</f>
        <v>0</v>
      </c>
      <c r="F25" s="39"/>
      <c r="G25" s="150"/>
      <c r="H25" s="94"/>
      <c r="I25" s="151"/>
      <c r="J25" s="105"/>
      <c r="L25" s="14" t="s">
        <v>135</v>
      </c>
      <c r="M25" s="15"/>
      <c r="N25" s="144" t="n">
        <v>0.03</v>
      </c>
      <c r="O25" s="142"/>
      <c r="P25" s="149"/>
      <c r="Q25" s="0"/>
      <c r="R25" s="0"/>
      <c r="S25" s="0"/>
      <c r="T25" s="0"/>
      <c r="U25" s="0"/>
    </row>
    <row r="26" customFormat="false" ht="15.75" hidden="false" customHeight="false" outlineLevel="0" collapsed="false">
      <c r="A26" s="14" t="s">
        <v>136</v>
      </c>
      <c r="B26" s="39"/>
      <c r="C26" s="136" t="n">
        <f aca="false">D26/$D$43</f>
        <v>0</v>
      </c>
      <c r="D26" s="137" t="n">
        <v>0</v>
      </c>
      <c r="E26" s="103" t="n">
        <f aca="false">D26/$I$26</f>
        <v>0</v>
      </c>
      <c r="F26" s="39"/>
      <c r="G26" s="14" t="s">
        <v>137</v>
      </c>
      <c r="H26" s="15"/>
      <c r="I26" s="152" t="n">
        <f aca="false">I11*I12</f>
        <v>184</v>
      </c>
      <c r="J26" s="105"/>
      <c r="L26" s="147" t="s">
        <v>138</v>
      </c>
      <c r="M26" s="148"/>
      <c r="N26" s="124" t="n">
        <v>0.01</v>
      </c>
      <c r="O26" s="142"/>
      <c r="P26" s="149"/>
      <c r="Q26" s="0"/>
      <c r="R26" s="0"/>
      <c r="S26" s="0"/>
      <c r="T26" s="0"/>
      <c r="U26" s="0"/>
    </row>
    <row r="27" customFormat="false" ht="15.75" hidden="false" customHeight="false" outlineLevel="0" collapsed="false">
      <c r="A27" s="14" t="s">
        <v>139</v>
      </c>
      <c r="B27" s="39"/>
      <c r="C27" s="136" t="n">
        <f aca="false">D27/$D$43</f>
        <v>0</v>
      </c>
      <c r="D27" s="137" t="n">
        <v>0</v>
      </c>
      <c r="E27" s="103" t="n">
        <f aca="false">D27/$I$26</f>
        <v>0</v>
      </c>
      <c r="F27" s="39"/>
      <c r="G27" s="14" t="s">
        <v>140</v>
      </c>
      <c r="H27" s="15"/>
      <c r="I27" s="153" t="n">
        <v>1320</v>
      </c>
      <c r="J27" s="105"/>
      <c r="L27" s="147" t="s">
        <v>141</v>
      </c>
      <c r="M27" s="148"/>
      <c r="N27" s="124"/>
      <c r="O27" s="142"/>
      <c r="P27" s="149"/>
      <c r="Q27" s="0"/>
      <c r="R27" s="0"/>
      <c r="S27" s="0"/>
      <c r="T27" s="0"/>
      <c r="U27" s="0"/>
    </row>
    <row r="28" customFormat="false" ht="15.75" hidden="false" customHeight="false" outlineLevel="0" collapsed="false">
      <c r="A28" s="14" t="s">
        <v>142</v>
      </c>
      <c r="B28" s="39"/>
      <c r="C28" s="136" t="n">
        <f aca="false">D28/$D$43</f>
        <v>0</v>
      </c>
      <c r="D28" s="137" t="n">
        <v>0</v>
      </c>
      <c r="E28" s="103" t="n">
        <f aca="false">D28/$I$26</f>
        <v>0</v>
      </c>
      <c r="F28" s="39"/>
      <c r="G28" s="14" t="s">
        <v>143</v>
      </c>
      <c r="H28" s="15"/>
      <c r="I28" s="153" t="n">
        <v>120</v>
      </c>
      <c r="J28" s="105"/>
      <c r="L28" s="147" t="s">
        <v>144</v>
      </c>
      <c r="M28" s="148"/>
      <c r="N28" s="124"/>
      <c r="O28" s="142"/>
      <c r="P28" s="149"/>
      <c r="Q28" s="0"/>
      <c r="R28" s="0"/>
      <c r="S28" s="0"/>
      <c r="T28" s="0"/>
      <c r="U28" s="0"/>
    </row>
    <row r="29" customFormat="false" ht="15.75" hidden="false" customHeight="false" outlineLevel="0" collapsed="false">
      <c r="A29" s="14" t="s">
        <v>145</v>
      </c>
      <c r="B29" s="39"/>
      <c r="C29" s="136" t="n">
        <f aca="false">D29/$D$43</f>
        <v>0.00700633865752961</v>
      </c>
      <c r="D29" s="137" t="n">
        <v>4061</v>
      </c>
      <c r="E29" s="103" t="n">
        <f aca="false">D29/$I$26</f>
        <v>22.070652173913</v>
      </c>
      <c r="F29" s="39"/>
      <c r="G29" s="14" t="s">
        <v>146</v>
      </c>
      <c r="H29" s="15"/>
      <c r="I29" s="153" t="n">
        <v>0</v>
      </c>
      <c r="J29" s="105"/>
      <c r="L29" s="147" t="s">
        <v>147</v>
      </c>
      <c r="M29" s="148"/>
      <c r="N29" s="124"/>
      <c r="O29" s="142"/>
      <c r="P29" s="149"/>
      <c r="Q29" s="0"/>
      <c r="R29" s="0"/>
      <c r="S29" s="0"/>
      <c r="T29" s="0"/>
      <c r="U29" s="0"/>
    </row>
    <row r="30" customFormat="false" ht="16.5" hidden="false" customHeight="false" outlineLevel="0" collapsed="false">
      <c r="A30" s="154" t="s">
        <v>148</v>
      </c>
      <c r="B30" s="39"/>
      <c r="C30" s="155" t="n">
        <f aca="false">D30/$D$43</f>
        <v>0.00227736198668778</v>
      </c>
      <c r="D30" s="156" t="n">
        <v>1320</v>
      </c>
      <c r="E30" s="103" t="n">
        <f aca="false">D30/$I$26</f>
        <v>7.17391304347826</v>
      </c>
      <c r="F30" s="39"/>
      <c r="G30" s="35" t="s">
        <v>149</v>
      </c>
      <c r="H30" s="36"/>
      <c r="I30" s="157" t="n">
        <v>12</v>
      </c>
      <c r="J30" s="158"/>
      <c r="L30" s="147" t="s">
        <v>150</v>
      </c>
      <c r="M30" s="148"/>
      <c r="N30" s="124"/>
      <c r="O30" s="142"/>
      <c r="P30" s="149"/>
      <c r="Q30" s="0"/>
      <c r="R30" s="0"/>
      <c r="S30" s="0"/>
      <c r="T30" s="0"/>
      <c r="U30" s="0"/>
    </row>
    <row r="31" customFormat="false" ht="15.75" hidden="false" customHeight="false" outlineLevel="0" collapsed="false">
      <c r="A31" s="14" t="s">
        <v>151</v>
      </c>
      <c r="B31" s="39"/>
      <c r="C31" s="136" t="n">
        <f aca="false">D31/$D$43</f>
        <v>0.171868368477169</v>
      </c>
      <c r="D31" s="109" t="n">
        <f aca="false">SUM(D20:D30)</f>
        <v>99618</v>
      </c>
      <c r="E31" s="103" t="n">
        <f aca="false">D31/$I$26</f>
        <v>541.402173913044</v>
      </c>
      <c r="F31" s="39"/>
      <c r="G31" s="39"/>
      <c r="H31" s="39"/>
      <c r="I31" s="39"/>
      <c r="J31" s="142"/>
      <c r="L31" s="147" t="s">
        <v>152</v>
      </c>
      <c r="M31" s="148"/>
      <c r="N31" s="124"/>
      <c r="O31" s="142"/>
      <c r="P31" s="149"/>
      <c r="Q31" s="0"/>
      <c r="R31" s="0"/>
      <c r="S31" s="0"/>
      <c r="T31" s="0"/>
      <c r="U31" s="0"/>
    </row>
    <row r="32" customFormat="false" ht="16.5" hidden="false" customHeight="false" outlineLevel="0" collapsed="false">
      <c r="A32" s="52"/>
      <c r="B32" s="39"/>
      <c r="C32" s="39"/>
      <c r="D32" s="39"/>
      <c r="E32" s="123"/>
      <c r="F32" s="39"/>
      <c r="L32" s="147" t="s">
        <v>153</v>
      </c>
      <c r="M32" s="148"/>
      <c r="N32" s="124"/>
      <c r="O32" s="142"/>
      <c r="P32" s="149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100" t="s">
        <v>154</v>
      </c>
      <c r="B33" s="39"/>
      <c r="C33" s="39"/>
      <c r="D33" s="39"/>
      <c r="E33" s="123"/>
      <c r="F33" s="39"/>
      <c r="G33" s="89" t="s">
        <v>155</v>
      </c>
      <c r="H33" s="90"/>
      <c r="I33" s="12"/>
      <c r="J33" s="146"/>
      <c r="L33" s="147" t="s">
        <v>156</v>
      </c>
      <c r="M33" s="148"/>
      <c r="N33" s="124"/>
      <c r="O33" s="142"/>
      <c r="P33" s="149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100" t="s">
        <v>157</v>
      </c>
      <c r="B34" s="39"/>
      <c r="C34" s="136" t="n">
        <f aca="false">D34/$D$43</f>
        <v>0</v>
      </c>
      <c r="D34" s="102" t="n">
        <v>0</v>
      </c>
      <c r="E34" s="103" t="n">
        <f aca="false">D34/$I$26</f>
        <v>0</v>
      </c>
      <c r="F34" s="39"/>
      <c r="G34" s="52"/>
      <c r="H34" s="39"/>
      <c r="I34" s="39"/>
      <c r="J34" s="105"/>
      <c r="L34" s="147" t="s">
        <v>158</v>
      </c>
      <c r="M34" s="148"/>
      <c r="N34" s="124"/>
      <c r="O34" s="142"/>
      <c r="P34" s="149"/>
      <c r="Q34" s="0"/>
      <c r="R34" s="0"/>
      <c r="S34" s="0"/>
      <c r="T34" s="0"/>
      <c r="U34" s="0"/>
    </row>
    <row r="35" customFormat="false" ht="16.5" hidden="false" customHeight="false" outlineLevel="0" collapsed="false">
      <c r="A35" s="100" t="s">
        <v>159</v>
      </c>
      <c r="B35" s="39"/>
      <c r="C35" s="136" t="n">
        <f aca="false">D35/$D$43</f>
        <v>0</v>
      </c>
      <c r="D35" s="102" t="n">
        <v>0</v>
      </c>
      <c r="E35" s="103" t="n">
        <f aca="false">D35/$I$26</f>
        <v>0</v>
      </c>
      <c r="F35" s="39"/>
      <c r="G35" s="14" t="s">
        <v>160</v>
      </c>
      <c r="H35" s="39"/>
      <c r="I35" s="126" t="n">
        <v>37012</v>
      </c>
      <c r="J35" s="105"/>
      <c r="L35" s="159" t="s">
        <v>161</v>
      </c>
      <c r="M35" s="25"/>
      <c r="N35" s="160"/>
      <c r="O35" s="161"/>
      <c r="P35" s="162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154" t="s">
        <v>162</v>
      </c>
      <c r="B36" s="39"/>
      <c r="C36" s="155" t="n">
        <f aca="false">D36/$D$43</f>
        <v>0</v>
      </c>
      <c r="D36" s="163" t="n">
        <v>0</v>
      </c>
      <c r="E36" s="103" t="n">
        <f aca="false">D36/$I$26</f>
        <v>0</v>
      </c>
      <c r="F36" s="39"/>
      <c r="G36" s="14" t="s">
        <v>163</v>
      </c>
      <c r="H36" s="39"/>
      <c r="I36" s="126" t="n">
        <v>44348</v>
      </c>
      <c r="J36" s="105"/>
      <c r="O36" s="0"/>
      <c r="P36" s="0"/>
      <c r="Q36" s="0"/>
      <c r="R36" s="0"/>
      <c r="S36" s="0"/>
      <c r="T36" s="0"/>
      <c r="U36" s="0"/>
    </row>
    <row r="37" customFormat="false" ht="15.75" hidden="false" customHeight="false" outlineLevel="0" collapsed="false">
      <c r="A37" s="14" t="s">
        <v>151</v>
      </c>
      <c r="B37" s="39"/>
      <c r="C37" s="136" t="n">
        <f aca="false">D37/$D$43</f>
        <v>0</v>
      </c>
      <c r="D37" s="164" t="n">
        <f aca="false">SUM(D34:D36)</f>
        <v>0</v>
      </c>
      <c r="E37" s="103" t="n">
        <f aca="false">D37/$I$26</f>
        <v>0</v>
      </c>
      <c r="F37" s="39"/>
      <c r="G37" s="52"/>
      <c r="H37" s="39"/>
      <c r="I37" s="39"/>
      <c r="J37" s="105"/>
      <c r="O37" s="0"/>
      <c r="P37" s="0"/>
      <c r="Q37" s="0"/>
      <c r="R37" s="0"/>
      <c r="S37" s="0"/>
      <c r="T37" s="0"/>
      <c r="U37" s="0"/>
    </row>
    <row r="38" customFormat="false" ht="15.75" hidden="false" customHeight="false" outlineLevel="0" collapsed="false">
      <c r="A38" s="52"/>
      <c r="B38" s="39"/>
      <c r="C38" s="39"/>
      <c r="D38" s="39"/>
      <c r="E38" s="103"/>
      <c r="F38" s="39"/>
      <c r="G38" s="154" t="s">
        <v>164</v>
      </c>
      <c r="H38" s="39"/>
      <c r="I38" s="39"/>
      <c r="J38" s="105"/>
      <c r="O38" s="0"/>
      <c r="P38" s="0"/>
      <c r="Q38" s="0"/>
      <c r="R38" s="0"/>
      <c r="S38" s="0"/>
      <c r="T38" s="0"/>
      <c r="U38" s="0"/>
    </row>
    <row r="39" customFormat="false" ht="15.75" hidden="false" customHeight="false" outlineLevel="0" collapsed="false">
      <c r="A39" s="14" t="s">
        <v>165</v>
      </c>
      <c r="B39" s="39"/>
      <c r="C39" s="136" t="n">
        <f aca="false">D39/$D$43</f>
        <v>0</v>
      </c>
      <c r="D39" s="137" t="n">
        <v>0</v>
      </c>
      <c r="E39" s="103" t="n">
        <f aca="false">D39/$I$26</f>
        <v>0</v>
      </c>
      <c r="F39" s="39"/>
      <c r="G39" s="14" t="s">
        <v>166</v>
      </c>
      <c r="H39" s="39"/>
      <c r="I39" s="104" t="n">
        <v>3</v>
      </c>
      <c r="J39" s="105"/>
      <c r="O39" s="0"/>
      <c r="P39" s="0"/>
      <c r="Q39" s="0"/>
      <c r="R39" s="0"/>
      <c r="S39" s="0"/>
      <c r="T39" s="0"/>
      <c r="U39" s="0"/>
    </row>
    <row r="40" customFormat="false" ht="15.75" hidden="false" customHeight="false" outlineLevel="0" collapsed="false">
      <c r="A40" s="14" t="s">
        <v>167</v>
      </c>
      <c r="B40" s="39"/>
      <c r="C40" s="136" t="n">
        <f aca="false">D40/$D$43</f>
        <v>0.828131631522831</v>
      </c>
      <c r="D40" s="137" t="n">
        <f aca="false">160*3000</f>
        <v>480000</v>
      </c>
      <c r="E40" s="103" t="n">
        <f aca="false">D40/$I$26</f>
        <v>2608.69565217391</v>
      </c>
      <c r="F40" s="39"/>
      <c r="G40" s="14" t="s">
        <v>168</v>
      </c>
      <c r="H40" s="39"/>
      <c r="I40" s="165" t="n">
        <f aca="false">I26</f>
        <v>184</v>
      </c>
      <c r="J40" s="105"/>
      <c r="O40" s="0"/>
      <c r="P40" s="0"/>
      <c r="Q40" s="0"/>
      <c r="R40" s="0"/>
      <c r="S40" s="0"/>
      <c r="T40" s="0"/>
      <c r="U40" s="0"/>
    </row>
    <row r="41" customFormat="false" ht="15.75" hidden="false" customHeight="false" outlineLevel="0" collapsed="false">
      <c r="A41" s="100" t="s">
        <v>169</v>
      </c>
      <c r="B41" s="39"/>
      <c r="C41" s="136" t="n">
        <f aca="false">D41/$D$43</f>
        <v>0</v>
      </c>
      <c r="D41" s="137" t="n">
        <v>0</v>
      </c>
      <c r="E41" s="103" t="n">
        <f aca="false">D41/$I$26</f>
        <v>0</v>
      </c>
      <c r="F41" s="39"/>
      <c r="G41" s="14" t="s">
        <v>170</v>
      </c>
      <c r="H41" s="15"/>
      <c r="I41" s="110" t="n">
        <v>5</v>
      </c>
      <c r="J41" s="105"/>
      <c r="Q41" s="0"/>
      <c r="R41" s="0"/>
      <c r="S41" s="0"/>
      <c r="T41" s="0"/>
      <c r="U41" s="0"/>
    </row>
    <row r="42" customFormat="false" ht="15.75" hidden="false" customHeight="false" outlineLevel="0" collapsed="false">
      <c r="A42" s="14"/>
      <c r="B42" s="39"/>
      <c r="C42" s="39"/>
      <c r="D42" s="166"/>
      <c r="E42" s="103"/>
      <c r="F42" s="39"/>
      <c r="G42" s="14" t="s">
        <v>171</v>
      </c>
      <c r="H42" s="15"/>
      <c r="I42" s="167" t="n">
        <f aca="false">J70</f>
        <v>2.03</v>
      </c>
      <c r="J42" s="105"/>
      <c r="Q42" s="0"/>
      <c r="R42" s="0"/>
      <c r="S42" s="0"/>
      <c r="T42" s="0"/>
      <c r="U42" s="0"/>
    </row>
    <row r="43" customFormat="false" ht="16.5" hidden="false" customHeight="false" outlineLevel="0" collapsed="false">
      <c r="A43" s="168" t="s">
        <v>172</v>
      </c>
      <c r="B43" s="36"/>
      <c r="C43" s="169" t="n">
        <f aca="false">C41+C40+C39+C37+C31</f>
        <v>1</v>
      </c>
      <c r="D43" s="170" t="n">
        <f aca="false">SUM(D39:D41,D37,D31)</f>
        <v>579618</v>
      </c>
      <c r="E43" s="171" t="n">
        <f aca="false">D43/I26</f>
        <v>3150.09782608696</v>
      </c>
      <c r="F43" s="39"/>
      <c r="G43" s="14" t="s">
        <v>173</v>
      </c>
      <c r="H43" s="15"/>
      <c r="I43" s="104" t="n">
        <v>0</v>
      </c>
      <c r="J43" s="105"/>
      <c r="Q43" s="0"/>
      <c r="R43" s="0"/>
      <c r="S43" s="0"/>
      <c r="T43" s="0"/>
      <c r="U43" s="0"/>
    </row>
    <row r="44" customFormat="false" ht="15.75" hidden="false" customHeight="false" outlineLevel="0" collapsed="false">
      <c r="A44" s="39"/>
      <c r="B44" s="39"/>
      <c r="C44" s="39"/>
      <c r="D44" s="39"/>
      <c r="E44" s="172"/>
      <c r="F44" s="39"/>
      <c r="G44" s="14" t="s">
        <v>174</v>
      </c>
      <c r="H44" s="138"/>
      <c r="I44" s="143" t="n">
        <v>0.02</v>
      </c>
      <c r="J44" s="105"/>
      <c r="Q44" s="0"/>
      <c r="R44" s="0"/>
      <c r="S44" s="0"/>
      <c r="T44" s="0"/>
      <c r="U44" s="0"/>
    </row>
    <row r="45" customFormat="false" ht="16.5" hidden="false" customHeight="false" outlineLevel="0" collapsed="false">
      <c r="A45" s="39"/>
      <c r="B45" s="39"/>
      <c r="C45" s="39"/>
      <c r="D45" s="39"/>
      <c r="E45" s="172"/>
      <c r="F45" s="39"/>
      <c r="G45" s="14" t="s">
        <v>175</v>
      </c>
      <c r="H45" s="138"/>
      <c r="I45" s="173" t="n">
        <f aca="false">I40*(1-I44)</f>
        <v>180.32</v>
      </c>
      <c r="J45" s="105"/>
      <c r="K45" s="0"/>
      <c r="Q45" s="0"/>
      <c r="R45" s="0"/>
      <c r="S45" s="0"/>
      <c r="T45" s="0"/>
      <c r="U45" s="0"/>
    </row>
    <row r="46" customFormat="false" ht="15.75" hidden="false" customHeight="false" outlineLevel="0" collapsed="false">
      <c r="A46" s="174" t="s">
        <v>176</v>
      </c>
      <c r="B46" s="11"/>
      <c r="C46" s="11"/>
      <c r="D46" s="175"/>
      <c r="E46" s="140"/>
      <c r="F46" s="39"/>
      <c r="G46" s="14" t="s">
        <v>177</v>
      </c>
      <c r="H46" s="39"/>
      <c r="I46" s="20" t="n">
        <f aca="false">I45*I14</f>
        <v>216384</v>
      </c>
      <c r="J46" s="105"/>
      <c r="K46" s="0"/>
      <c r="Q46" s="0"/>
      <c r="R46" s="0"/>
      <c r="S46" s="0"/>
      <c r="T46" s="0"/>
      <c r="U46" s="0"/>
    </row>
    <row r="47" customFormat="false" ht="15.75" hidden="false" customHeight="false" outlineLevel="0" collapsed="false">
      <c r="A47" s="176" t="s">
        <v>178</v>
      </c>
      <c r="B47" s="177" t="n">
        <v>36739</v>
      </c>
      <c r="C47" s="39"/>
      <c r="D47" s="178"/>
      <c r="E47" s="53"/>
      <c r="F47" s="39"/>
      <c r="G47" s="52"/>
      <c r="H47" s="39"/>
      <c r="I47" s="39"/>
      <c r="J47" s="105"/>
      <c r="Q47" s="0"/>
      <c r="R47" s="0"/>
      <c r="S47" s="0"/>
      <c r="T47" s="0"/>
      <c r="U47" s="0"/>
    </row>
    <row r="48" customFormat="false" ht="15.75" hidden="false" customHeight="false" outlineLevel="0" collapsed="false">
      <c r="A48" s="179"/>
      <c r="B48" s="39"/>
      <c r="C48" s="39"/>
      <c r="D48" s="39"/>
      <c r="E48" s="180"/>
      <c r="F48" s="181"/>
      <c r="G48" s="154" t="s">
        <v>179</v>
      </c>
      <c r="H48" s="39"/>
      <c r="I48" s="39"/>
      <c r="J48" s="105"/>
      <c r="K48" s="0"/>
      <c r="Q48" s="0"/>
      <c r="R48" s="0"/>
      <c r="S48" s="0"/>
      <c r="T48" s="0"/>
      <c r="U48" s="0"/>
    </row>
    <row r="49" customFormat="false" ht="15.75" hidden="false" customHeight="false" outlineLevel="0" collapsed="false">
      <c r="A49" s="182" t="s">
        <v>180</v>
      </c>
      <c r="B49" s="183" t="s">
        <v>181</v>
      </c>
      <c r="C49" s="183" t="s">
        <v>182</v>
      </c>
      <c r="D49" s="183" t="s">
        <v>183</v>
      </c>
      <c r="E49" s="184" t="s">
        <v>184</v>
      </c>
      <c r="F49" s="178"/>
      <c r="G49" s="14" t="s">
        <v>166</v>
      </c>
      <c r="H49" s="39"/>
      <c r="I49" s="142" t="n">
        <f aca="false">I20-I39</f>
        <v>17</v>
      </c>
      <c r="J49" s="105"/>
      <c r="Q49" s="0"/>
      <c r="R49" s="0"/>
      <c r="S49" s="0"/>
      <c r="T49" s="0"/>
      <c r="U49" s="0"/>
    </row>
    <row r="50" customFormat="false" ht="15.75" hidden="false" customHeight="false" outlineLevel="0" collapsed="false">
      <c r="A50" s="154" t="s">
        <v>185</v>
      </c>
      <c r="B50" s="185"/>
      <c r="C50" s="185"/>
      <c r="D50" s="185"/>
      <c r="E50" s="53"/>
      <c r="F50" s="39"/>
      <c r="G50" s="14" t="s">
        <v>186</v>
      </c>
      <c r="H50" s="39"/>
      <c r="I50" s="15" t="n">
        <v>497.4</v>
      </c>
      <c r="J50" s="105"/>
      <c r="Q50" s="0"/>
      <c r="R50" s="0"/>
      <c r="S50" s="0"/>
      <c r="T50" s="0"/>
      <c r="U50" s="0"/>
    </row>
    <row r="51" customFormat="false" ht="15.75" hidden="false" customHeight="false" outlineLevel="0" collapsed="false">
      <c r="A51" s="186" t="s">
        <v>187</v>
      </c>
      <c r="B51" s="187" t="n">
        <v>15000</v>
      </c>
      <c r="C51" s="187" t="n">
        <v>25000</v>
      </c>
      <c r="D51" s="187" t="n">
        <v>40000</v>
      </c>
      <c r="E51" s="188" t="n">
        <f aca="false">SUM(B51:D51)</f>
        <v>80000</v>
      </c>
      <c r="F51" s="189"/>
      <c r="G51" s="14" t="s">
        <v>171</v>
      </c>
      <c r="H51" s="39"/>
      <c r="I51" s="167" t="n">
        <f aca="false">I64</f>
        <v>0.03</v>
      </c>
      <c r="J51" s="105"/>
      <c r="O51" s="0"/>
      <c r="P51" s="0"/>
      <c r="Q51" s="0"/>
      <c r="R51" s="0"/>
      <c r="S51" s="0"/>
      <c r="T51" s="0"/>
      <c r="U51" s="0"/>
    </row>
    <row r="52" customFormat="false" ht="15.75" hidden="false" customHeight="false" outlineLevel="0" collapsed="false">
      <c r="A52" s="186" t="s">
        <v>188</v>
      </c>
      <c r="B52" s="190" t="n">
        <v>4</v>
      </c>
      <c r="C52" s="190" t="n">
        <v>10</v>
      </c>
      <c r="D52" s="190" t="n">
        <v>20</v>
      </c>
      <c r="E52" s="191"/>
      <c r="F52" s="189"/>
      <c r="G52" s="14" t="s">
        <v>173</v>
      </c>
      <c r="H52" s="15"/>
      <c r="I52" s="173" t="e">
        <f aca="false">#REF!</f>
        <v>#REF!</v>
      </c>
      <c r="J52" s="105"/>
      <c r="O52" s="0"/>
      <c r="P52" s="0"/>
      <c r="Q52" s="0"/>
      <c r="R52" s="0"/>
      <c r="S52" s="0"/>
      <c r="T52" s="0"/>
      <c r="U52" s="0"/>
    </row>
    <row r="53" customFormat="false" ht="15.75" hidden="false" customHeight="false" outlineLevel="0" collapsed="false">
      <c r="A53" s="186" t="s">
        <v>189</v>
      </c>
      <c r="B53" s="192" t="n">
        <v>37833</v>
      </c>
      <c r="C53" s="192" t="n">
        <v>40390</v>
      </c>
      <c r="D53" s="192" t="n">
        <v>44043</v>
      </c>
      <c r="E53" s="188"/>
      <c r="F53" s="39"/>
      <c r="G53" s="14" t="s">
        <v>190</v>
      </c>
      <c r="H53" s="39"/>
      <c r="I53" s="143" t="n">
        <v>0.02</v>
      </c>
      <c r="J53" s="105"/>
      <c r="O53" s="0"/>
      <c r="P53" s="0"/>
      <c r="Q53" s="0"/>
      <c r="R53" s="0"/>
      <c r="S53" s="0"/>
      <c r="T53" s="0"/>
      <c r="U53" s="0"/>
    </row>
    <row r="54" customFormat="false" ht="15.75" hidden="false" customHeight="false" outlineLevel="0" collapsed="false">
      <c r="A54" s="186" t="s">
        <v>191</v>
      </c>
      <c r="B54" s="193" t="n">
        <f aca="false">Debt!F9</f>
        <v>9.7625</v>
      </c>
      <c r="C54" s="193" t="n">
        <f aca="false">Debt!L9</f>
        <v>9.7625</v>
      </c>
      <c r="D54" s="193" t="n">
        <f aca="false">Debt!R9</f>
        <v>9.7625</v>
      </c>
      <c r="E54" s="194"/>
      <c r="F54" s="39"/>
      <c r="G54" s="14" t="s">
        <v>174</v>
      </c>
      <c r="H54" s="39"/>
      <c r="I54" s="143" t="n">
        <v>0.02</v>
      </c>
      <c r="J54" s="105"/>
      <c r="O54" s="0"/>
      <c r="P54" s="0"/>
      <c r="Q54" s="0"/>
      <c r="R54" s="0"/>
      <c r="S54" s="0"/>
      <c r="T54" s="0"/>
      <c r="U54" s="0"/>
    </row>
    <row r="55" customFormat="false" ht="15.75" hidden="false" customHeight="false" outlineLevel="0" collapsed="false">
      <c r="A55" s="186"/>
      <c r="B55" s="39"/>
      <c r="C55" s="39"/>
      <c r="D55" s="39"/>
      <c r="E55" s="188"/>
      <c r="F55" s="39"/>
      <c r="G55" s="14" t="s">
        <v>175</v>
      </c>
      <c r="H55" s="138"/>
      <c r="I55" s="195" t="n">
        <f aca="false">I50*(1-I54)</f>
        <v>487.452</v>
      </c>
      <c r="J55" s="105"/>
      <c r="O55" s="0"/>
      <c r="P55" s="0"/>
      <c r="Q55" s="0"/>
      <c r="R55" s="0"/>
      <c r="S55" s="0"/>
      <c r="T55" s="0"/>
      <c r="U55" s="0"/>
    </row>
    <row r="56" customFormat="false" ht="15.75" hidden="false" customHeight="false" outlineLevel="0" collapsed="false">
      <c r="A56" s="52"/>
      <c r="B56" s="39"/>
      <c r="C56" s="39"/>
      <c r="D56" s="39"/>
      <c r="E56" s="188"/>
      <c r="F56" s="39"/>
      <c r="G56" s="14" t="s">
        <v>177</v>
      </c>
      <c r="H56" s="39"/>
      <c r="I56" s="20" t="n">
        <f aca="false">I55*I14</f>
        <v>584942.4</v>
      </c>
      <c r="J56" s="105"/>
      <c r="O56" s="0"/>
      <c r="P56" s="0"/>
      <c r="Q56" s="0"/>
      <c r="R56" s="0"/>
      <c r="S56" s="0"/>
      <c r="T56" s="0"/>
      <c r="U56" s="0"/>
    </row>
    <row r="57" customFormat="false" ht="15.75" hidden="false" customHeight="false" outlineLevel="0" collapsed="false">
      <c r="A57" s="196" t="s">
        <v>192</v>
      </c>
      <c r="B57" s="197" t="n">
        <v>0.04</v>
      </c>
      <c r="C57" s="197" t="n">
        <v>0.04</v>
      </c>
      <c r="D57" s="197" t="n">
        <v>0.04</v>
      </c>
      <c r="E57" s="198" t="n">
        <f aca="false">SUMPRODUCT(B57:D57,$B$51:$D$51)/SUM($B$51:$D$51)</f>
        <v>0.04</v>
      </c>
      <c r="F57" s="39"/>
      <c r="G57" s="14" t="s">
        <v>193</v>
      </c>
      <c r="H57" s="15"/>
      <c r="I57" s="110" t="n">
        <v>1</v>
      </c>
      <c r="J57" s="105"/>
      <c r="O57" s="0"/>
      <c r="P57" s="0"/>
      <c r="Q57" s="0"/>
      <c r="R57" s="0"/>
      <c r="S57" s="0"/>
      <c r="T57" s="0"/>
      <c r="U57" s="0"/>
    </row>
    <row r="58" customFormat="false" ht="15.75" hidden="false" customHeight="false" outlineLevel="0" collapsed="false">
      <c r="A58" s="196" t="s">
        <v>194</v>
      </c>
      <c r="B58" s="199" t="n">
        <v>0.04</v>
      </c>
      <c r="C58" s="199" t="n">
        <v>0.04</v>
      </c>
      <c r="D58" s="199" t="n">
        <v>0.04</v>
      </c>
      <c r="E58" s="200" t="n">
        <f aca="false">SUMPRODUCT(B58:D58,$B$51:$D$51)/SUM($B$51:$D$51)</f>
        <v>0.04</v>
      </c>
      <c r="F58" s="39"/>
      <c r="G58" s="52"/>
      <c r="H58" s="39"/>
      <c r="I58" s="39"/>
      <c r="J58" s="105"/>
      <c r="O58" s="0"/>
      <c r="P58" s="0"/>
      <c r="Q58" s="0"/>
      <c r="R58" s="0"/>
      <c r="S58" s="0"/>
      <c r="T58" s="0"/>
      <c r="U58" s="0"/>
    </row>
    <row r="59" customFormat="false" ht="16.5" hidden="false" customHeight="false" outlineLevel="0" collapsed="false">
      <c r="A59" s="186" t="s">
        <v>195</v>
      </c>
      <c r="B59" s="201" t="n">
        <f aca="false">Debt!F7</f>
        <v>0.08</v>
      </c>
      <c r="C59" s="201" t="n">
        <f aca="false">Debt!L7</f>
        <v>0.08</v>
      </c>
      <c r="D59" s="201" t="n">
        <f aca="false">Debt!R7</f>
        <v>0.08</v>
      </c>
      <c r="E59" s="198" t="n">
        <f aca="false">SUMPRODUCT(B59:D59,$B$51:$D$51)/SUM($B$51:$D$51)</f>
        <v>0.08</v>
      </c>
      <c r="F59" s="39"/>
      <c r="G59" s="35" t="s">
        <v>1</v>
      </c>
      <c r="H59" s="78"/>
      <c r="I59" s="202" t="n">
        <v>0.03</v>
      </c>
      <c r="J59" s="158"/>
      <c r="O59" s="0"/>
      <c r="P59" s="0"/>
      <c r="Q59" s="0"/>
      <c r="R59" s="0"/>
      <c r="S59" s="0"/>
      <c r="T59" s="0"/>
      <c r="U59" s="0"/>
    </row>
    <row r="60" customFormat="false" ht="15.75" hidden="false" customHeight="false" outlineLevel="0" collapsed="false">
      <c r="A60" s="14"/>
      <c r="B60" s="15"/>
      <c r="C60" s="15"/>
      <c r="D60" s="15"/>
      <c r="E60" s="203"/>
      <c r="F60" s="39"/>
      <c r="G60" s="39"/>
      <c r="H60" s="39"/>
      <c r="I60" s="39"/>
      <c r="J60" s="142"/>
      <c r="K60" s="0"/>
      <c r="L60" s="0"/>
      <c r="M60" s="0"/>
      <c r="O60" s="0"/>
      <c r="P60" s="0"/>
      <c r="Q60" s="0"/>
      <c r="R60" s="0"/>
      <c r="S60" s="0"/>
      <c r="T60" s="0"/>
      <c r="U60" s="0"/>
    </row>
    <row r="61" customFormat="false" ht="16.5" hidden="false" customHeight="false" outlineLevel="0" collapsed="false">
      <c r="A61" s="14" t="s">
        <v>196</v>
      </c>
      <c r="B61" s="204" t="n">
        <f aca="false">MAX(Debt!C87:Z87)</f>
        <v>10000</v>
      </c>
      <c r="C61" s="15"/>
      <c r="D61" s="15"/>
      <c r="E61" s="205"/>
      <c r="F61" s="39"/>
      <c r="O61" s="0"/>
      <c r="P61" s="0"/>
      <c r="Q61" s="0"/>
      <c r="R61" s="0"/>
      <c r="S61" s="0"/>
      <c r="T61" s="0"/>
      <c r="U61" s="0"/>
    </row>
    <row r="62" customFormat="false" ht="15.75" hidden="false" customHeight="false" outlineLevel="0" collapsed="false">
      <c r="A62" s="14" t="s">
        <v>197</v>
      </c>
      <c r="B62" s="204" t="n">
        <v>0</v>
      </c>
      <c r="C62" s="39"/>
      <c r="D62" s="39"/>
      <c r="E62" s="53"/>
      <c r="F62" s="39"/>
      <c r="G62" s="174" t="s">
        <v>198</v>
      </c>
      <c r="H62" s="12"/>
      <c r="I62" s="12"/>
      <c r="J62" s="140"/>
      <c r="O62" s="0"/>
      <c r="P62" s="0"/>
      <c r="Q62" s="0"/>
      <c r="R62" s="0"/>
      <c r="S62" s="0"/>
      <c r="T62" s="0"/>
      <c r="U62" s="0"/>
    </row>
    <row r="63" customFormat="false" ht="15.75" hidden="false" customHeight="false" outlineLevel="0" collapsed="false">
      <c r="A63" s="14" t="s">
        <v>199</v>
      </c>
      <c r="B63" s="206" t="n">
        <v>0.02</v>
      </c>
      <c r="C63" s="15"/>
      <c r="D63" s="15"/>
      <c r="E63" s="205"/>
      <c r="F63" s="39"/>
      <c r="G63" s="52"/>
      <c r="H63" s="39"/>
      <c r="I63" s="39"/>
      <c r="J63" s="207" t="s">
        <v>200</v>
      </c>
      <c r="O63" s="0"/>
      <c r="P63" s="0"/>
      <c r="Q63" s="0"/>
      <c r="R63" s="0"/>
      <c r="S63" s="0"/>
      <c r="T63" s="0"/>
      <c r="U63" s="0"/>
    </row>
    <row r="64" customFormat="false" ht="15.75" hidden="false" customHeight="false" outlineLevel="0" collapsed="false">
      <c r="A64" s="14" t="s">
        <v>201</v>
      </c>
      <c r="B64" s="206" t="n">
        <v>0.05</v>
      </c>
      <c r="C64" s="39"/>
      <c r="D64" s="39"/>
      <c r="E64" s="53"/>
      <c r="F64" s="39"/>
      <c r="G64" s="208" t="s">
        <v>202</v>
      </c>
      <c r="H64" s="15"/>
      <c r="I64" s="144" t="n">
        <v>0.03</v>
      </c>
      <c r="J64" s="209"/>
      <c r="O64" s="0"/>
      <c r="P64" s="0"/>
      <c r="Q64" s="0"/>
      <c r="R64" s="0"/>
      <c r="S64" s="0"/>
      <c r="T64" s="0"/>
      <c r="U64" s="0"/>
    </row>
    <row r="65" customFormat="false" ht="15.75" hidden="false" customHeight="false" outlineLevel="0" collapsed="false">
      <c r="A65" s="52"/>
      <c r="B65" s="39"/>
      <c r="C65" s="39"/>
      <c r="D65" s="39"/>
      <c r="E65" s="53"/>
      <c r="F65" s="39"/>
      <c r="G65" s="14"/>
      <c r="H65" s="15"/>
      <c r="I65" s="39"/>
      <c r="J65" s="209"/>
      <c r="O65" s="0"/>
      <c r="P65" s="0"/>
      <c r="Q65" s="0"/>
      <c r="R65" s="0"/>
      <c r="S65" s="0"/>
      <c r="T65" s="0"/>
      <c r="U65" s="0"/>
    </row>
    <row r="66" customFormat="false" ht="15.75" hidden="false" customHeight="false" outlineLevel="0" collapsed="false">
      <c r="A66" s="182" t="s">
        <v>78</v>
      </c>
      <c r="B66" s="39"/>
      <c r="C66" s="39"/>
      <c r="D66" s="39"/>
      <c r="E66" s="53"/>
      <c r="F66" s="39"/>
      <c r="G66" s="208" t="s">
        <v>203</v>
      </c>
      <c r="H66" s="15"/>
      <c r="I66" s="15"/>
      <c r="J66" s="209"/>
      <c r="O66" s="0"/>
      <c r="P66" s="0"/>
      <c r="Q66" s="0"/>
      <c r="R66" s="0"/>
      <c r="S66" s="0"/>
      <c r="T66" s="0"/>
      <c r="U66" s="0"/>
    </row>
    <row r="67" customFormat="false" ht="15.75" hidden="false" customHeight="false" outlineLevel="0" collapsed="false">
      <c r="A67" s="176" t="s">
        <v>204</v>
      </c>
      <c r="B67" s="177" t="n">
        <v>37377</v>
      </c>
      <c r="C67" s="39"/>
      <c r="D67" s="39"/>
      <c r="E67" s="53"/>
      <c r="F67" s="39"/>
      <c r="G67" s="52"/>
      <c r="H67" s="39"/>
      <c r="I67" s="39"/>
      <c r="J67" s="209"/>
      <c r="O67" s="0"/>
      <c r="P67" s="0"/>
      <c r="Q67" s="0"/>
      <c r="R67" s="0"/>
      <c r="S67" s="0"/>
      <c r="T67" s="0"/>
      <c r="U67" s="0"/>
    </row>
    <row r="68" customFormat="false" ht="15.75" hidden="false" customHeight="false" outlineLevel="0" collapsed="false">
      <c r="A68" s="14" t="s">
        <v>205</v>
      </c>
      <c r="B68" s="210" t="n">
        <v>0.5</v>
      </c>
      <c r="C68" s="109" t="n">
        <f aca="false">B68*D11</f>
        <v>12500</v>
      </c>
      <c r="D68" s="39"/>
      <c r="E68" s="53"/>
      <c r="F68" s="39"/>
      <c r="G68" s="14" t="s">
        <v>60</v>
      </c>
      <c r="H68" s="15"/>
      <c r="I68" s="211" t="n">
        <v>0</v>
      </c>
      <c r="J68" s="212" t="n">
        <f aca="false">I108/$I$12</f>
        <v>0</v>
      </c>
      <c r="O68" s="0"/>
      <c r="P68" s="0"/>
      <c r="Q68" s="0"/>
      <c r="R68" s="0"/>
      <c r="S68" s="0"/>
      <c r="T68" s="0"/>
      <c r="U68" s="0"/>
    </row>
    <row r="69" customFormat="false" ht="16.5" hidden="false" customHeight="false" outlineLevel="0" collapsed="false">
      <c r="A69" s="35" t="s">
        <v>206</v>
      </c>
      <c r="B69" s="213" t="n">
        <f aca="false">1-B68</f>
        <v>0.5</v>
      </c>
      <c r="C69" s="214" t="n">
        <f aca="false">B69*D11</f>
        <v>12500</v>
      </c>
      <c r="D69" s="36"/>
      <c r="E69" s="55"/>
      <c r="F69" s="39"/>
      <c r="G69" s="14" t="s">
        <v>62</v>
      </c>
      <c r="H69" s="15"/>
      <c r="I69" s="211" t="n">
        <f aca="false">J70*I45/1000</f>
        <v>0.3660496</v>
      </c>
      <c r="J69" s="212" t="n">
        <f aca="false">J76/$I$12</f>
        <v>0.00152173913043478</v>
      </c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</row>
    <row r="70" customFormat="false" ht="16.5" hidden="false" customHeight="false" outlineLevel="0" collapsed="false">
      <c r="F70" s="39"/>
      <c r="G70" s="215" t="s">
        <v>207</v>
      </c>
      <c r="H70" s="39"/>
      <c r="I70" s="216"/>
      <c r="J70" s="217" t="n">
        <v>2.03</v>
      </c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</row>
    <row r="71" customFormat="false" ht="15.75" hidden="false" customHeight="false" outlineLevel="0" collapsed="false">
      <c r="A71" s="174" t="s">
        <v>208</v>
      </c>
      <c r="B71" s="12"/>
      <c r="C71" s="12"/>
      <c r="D71" s="12"/>
      <c r="E71" s="13"/>
      <c r="G71" s="215" t="s">
        <v>209</v>
      </c>
      <c r="H71" s="39"/>
      <c r="I71" s="216"/>
      <c r="J71" s="217" t="n">
        <v>2.03</v>
      </c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</row>
    <row r="72" customFormat="false" ht="15.75" hidden="false" customHeight="false" outlineLevel="0" collapsed="false">
      <c r="A72" s="14"/>
      <c r="B72" s="15"/>
      <c r="C72" s="15"/>
      <c r="D72" s="15"/>
      <c r="E72" s="16"/>
      <c r="F72" s="15"/>
      <c r="G72" s="14" t="s">
        <v>210</v>
      </c>
      <c r="H72" s="15"/>
      <c r="I72" s="128" t="n">
        <v>0</v>
      </c>
      <c r="J72" s="212" t="n">
        <f aca="false">I72/$I$12</f>
        <v>0</v>
      </c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</row>
    <row r="73" customFormat="false" ht="15.75" hidden="false" customHeight="false" outlineLevel="0" collapsed="false">
      <c r="A73" s="154" t="s">
        <v>16</v>
      </c>
      <c r="B73" s="218"/>
      <c r="C73" s="18" t="s">
        <v>211</v>
      </c>
      <c r="D73" s="18" t="s">
        <v>212</v>
      </c>
      <c r="E73" s="53"/>
      <c r="F73" s="15"/>
      <c r="G73" s="14" t="s">
        <v>67</v>
      </c>
      <c r="H73" s="15"/>
      <c r="I73" s="211" t="n">
        <v>0</v>
      </c>
      <c r="J73" s="212" t="n">
        <f aca="false">I65/$I$12</f>
        <v>0</v>
      </c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</row>
    <row r="74" customFormat="false" ht="15.75" hidden="false" customHeight="false" outlineLevel="0" collapsed="false">
      <c r="A74" s="52"/>
      <c r="B74" s="15"/>
      <c r="C74" s="219" t="n">
        <f aca="false">Debt!B96</f>
        <v>5.13988566969739</v>
      </c>
      <c r="D74" s="219" t="n">
        <f aca="false">Debt!B97</f>
        <v>0.749532889407407</v>
      </c>
      <c r="E74" s="53"/>
      <c r="F74" s="39"/>
      <c r="G74" s="14" t="s">
        <v>213</v>
      </c>
      <c r="H74" s="15"/>
      <c r="I74" s="211" t="n">
        <v>0</v>
      </c>
      <c r="J74" s="212" t="n">
        <f aca="false">I66/$I$12</f>
        <v>0</v>
      </c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</row>
    <row r="75" customFormat="false" ht="15.75" hidden="false" customHeight="false" outlineLevel="0" collapsed="false">
      <c r="A75" s="52"/>
      <c r="B75" s="39"/>
      <c r="C75" s="39"/>
      <c r="D75" s="39"/>
      <c r="E75" s="53"/>
      <c r="F75" s="39"/>
      <c r="G75" s="14" t="s">
        <v>214</v>
      </c>
      <c r="H75" s="15"/>
      <c r="I75" s="211" t="n">
        <v>0</v>
      </c>
      <c r="J75" s="212" t="n">
        <f aca="false">I68/$I$12</f>
        <v>0</v>
      </c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</row>
    <row r="76" customFormat="false" ht="15.75" hidden="false" customHeight="false" outlineLevel="0" collapsed="false">
      <c r="A76" s="154" t="s">
        <v>215</v>
      </c>
      <c r="B76" s="15"/>
      <c r="C76" s="220" t="s">
        <v>216</v>
      </c>
      <c r="D76" s="15"/>
      <c r="E76" s="53"/>
      <c r="F76" s="39"/>
      <c r="G76" s="14" t="s">
        <v>70</v>
      </c>
      <c r="H76" s="39"/>
      <c r="I76" s="216"/>
      <c r="J76" s="217" t="n">
        <v>0.07</v>
      </c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</row>
    <row r="77" customFormat="false" ht="15.75" hidden="false" customHeight="false" outlineLevel="0" collapsed="false">
      <c r="A77" s="14" t="s">
        <v>27</v>
      </c>
      <c r="B77" s="15"/>
      <c r="C77" s="164" t="n">
        <f aca="false">E31</f>
        <v>541.402173913044</v>
      </c>
      <c r="D77" s="15"/>
      <c r="E77" s="53"/>
      <c r="F77" s="39"/>
      <c r="G77" s="14" t="s">
        <v>71</v>
      </c>
      <c r="H77" s="15"/>
      <c r="I77" s="211" t="n">
        <v>0</v>
      </c>
      <c r="J77" s="212" t="n">
        <f aca="false">I72/$I$12</f>
        <v>0</v>
      </c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</row>
    <row r="78" customFormat="false" ht="15.75" hidden="false" customHeight="false" outlineLevel="0" collapsed="false">
      <c r="A78" s="14" t="s">
        <v>217</v>
      </c>
      <c r="B78" s="39"/>
      <c r="C78" s="164" t="n">
        <f aca="false">SUM(E34:E41)</f>
        <v>2608.69565217391</v>
      </c>
      <c r="D78" s="39"/>
      <c r="E78" s="53"/>
      <c r="F78" s="39"/>
      <c r="G78" s="14" t="s">
        <v>72</v>
      </c>
      <c r="H78" s="15"/>
      <c r="I78" s="211" t="n">
        <v>0</v>
      </c>
      <c r="J78" s="212" t="n">
        <f aca="false">I73/$I$12</f>
        <v>0</v>
      </c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</row>
    <row r="79" customFormat="false" ht="16.5" hidden="false" customHeight="false" outlineLevel="0" collapsed="false">
      <c r="A79" s="154" t="s">
        <v>3</v>
      </c>
      <c r="B79" s="39"/>
      <c r="C79" s="164" t="n">
        <f aca="false">SUM(J64:J83)</f>
        <v>4.13152173913043</v>
      </c>
      <c r="D79" s="39"/>
      <c r="E79" s="53"/>
      <c r="F79" s="39"/>
      <c r="G79" s="14"/>
      <c r="H79" s="15"/>
      <c r="I79" s="15"/>
      <c r="J79" s="209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</row>
    <row r="80" customFormat="false" ht="16.5" hidden="false" customHeight="false" outlineLevel="0" collapsed="false">
      <c r="A80" s="14" t="s">
        <v>184</v>
      </c>
      <c r="B80" s="39"/>
      <c r="C80" s="221" t="n">
        <f aca="false">SUM(C77:C79)</f>
        <v>3154.22934782609</v>
      </c>
      <c r="D80" s="39"/>
      <c r="E80" s="53"/>
      <c r="F80" s="39"/>
      <c r="G80" s="208" t="s">
        <v>218</v>
      </c>
      <c r="H80" s="15"/>
      <c r="I80" s="15"/>
      <c r="J80" s="209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</row>
    <row r="81" customFormat="false" ht="15.75" hidden="false" customHeight="false" outlineLevel="0" collapsed="false">
      <c r="A81" s="52"/>
      <c r="B81" s="39"/>
      <c r="C81" s="39"/>
      <c r="D81" s="39"/>
      <c r="E81" s="53"/>
      <c r="F81" s="39"/>
      <c r="G81" s="14" t="s">
        <v>74</v>
      </c>
      <c r="H81" s="39"/>
      <c r="I81" s="216"/>
      <c r="J81" s="212" t="n">
        <f aca="false">I77/$I$12</f>
        <v>0</v>
      </c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</row>
    <row r="82" customFormat="false" ht="15.75" hidden="false" customHeight="false" outlineLevel="0" collapsed="false">
      <c r="A82" s="52"/>
      <c r="B82" s="39"/>
      <c r="C82" s="39"/>
      <c r="D82" s="39"/>
      <c r="E82" s="53"/>
      <c r="F82" s="5"/>
      <c r="G82" s="14" t="s">
        <v>219</v>
      </c>
      <c r="H82" s="15"/>
      <c r="I82" s="211" t="n">
        <v>0</v>
      </c>
      <c r="J82" s="212" t="n">
        <f aca="false">I78/$I$12</f>
        <v>0</v>
      </c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</row>
    <row r="83" customFormat="false" ht="16.5" hidden="false" customHeight="false" outlineLevel="0" collapsed="false">
      <c r="A83" s="154" t="s">
        <v>220</v>
      </c>
      <c r="B83" s="39"/>
      <c r="C83" s="39"/>
      <c r="D83" s="39"/>
      <c r="E83" s="53"/>
      <c r="G83" s="35" t="s">
        <v>76</v>
      </c>
      <c r="H83" s="36"/>
      <c r="I83" s="141"/>
      <c r="J83" s="222" t="n">
        <f aca="false">I79/$I$12</f>
        <v>0</v>
      </c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</row>
    <row r="84" customFormat="false" ht="15.75" hidden="false" customHeight="false" outlineLevel="0" collapsed="false">
      <c r="A84" s="14" t="s">
        <v>221</v>
      </c>
      <c r="B84" s="15"/>
      <c r="C84" s="223" t="e">
        <f aca="false">CF!D47</f>
        <v>#VALUE!</v>
      </c>
      <c r="D84" s="39"/>
      <c r="E84" s="53"/>
      <c r="F84" s="15"/>
      <c r="J84" s="224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</row>
    <row r="85" customFormat="false" ht="15.75" hidden="false" customHeight="false" outlineLevel="0" collapsed="false">
      <c r="A85" s="14" t="s">
        <v>222</v>
      </c>
      <c r="B85" s="39"/>
      <c r="C85" s="223" t="e">
        <f aca="false">CF!D53</f>
        <v>#VALUE!</v>
      </c>
      <c r="D85" s="15"/>
      <c r="E85" s="53"/>
      <c r="F85" s="15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</row>
    <row r="86" customFormat="false" ht="15.75" hidden="false" customHeight="false" outlineLevel="0" collapsed="false">
      <c r="A86" s="14"/>
      <c r="B86" s="15"/>
      <c r="C86" s="223"/>
      <c r="D86" s="15"/>
      <c r="E86" s="53"/>
      <c r="F86" s="15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</row>
    <row r="87" customFormat="false" ht="15.75" hidden="false" customHeight="false" outlineLevel="0" collapsed="false">
      <c r="A87" s="14"/>
      <c r="B87" s="107"/>
      <c r="C87" s="142"/>
      <c r="D87" s="223"/>
      <c r="E87" s="16"/>
      <c r="F87" s="15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</row>
    <row r="88" customFormat="false" ht="15.75" hidden="false" customHeight="false" outlineLevel="0" collapsed="false">
      <c r="A88" s="154" t="s">
        <v>223</v>
      </c>
      <c r="B88" s="18" t="n">
        <v>2000</v>
      </c>
      <c r="C88" s="18" t="n">
        <v>2001</v>
      </c>
      <c r="D88" s="18" t="n">
        <v>2002</v>
      </c>
      <c r="E88" s="19" t="n">
        <v>2003</v>
      </c>
      <c r="F88" s="39"/>
      <c r="K88" s="0"/>
      <c r="L88" s="0"/>
      <c r="M88" s="0"/>
      <c r="N88" s="0"/>
      <c r="O88" s="0"/>
      <c r="P88" s="0"/>
    </row>
    <row r="89" customFormat="false" ht="15.75" hidden="false" customHeight="false" outlineLevel="0" collapsed="false">
      <c r="A89" s="14" t="s">
        <v>224</v>
      </c>
      <c r="B89" s="164" t="n">
        <f aca="false">IS!E42</f>
        <v>9844.29990903917</v>
      </c>
      <c r="C89" s="164" t="n">
        <f aca="false">IS!F42</f>
        <v>9870.09859830293</v>
      </c>
      <c r="D89" s="164" t="n">
        <f aca="false">IS!G42</f>
        <v>21225.8011500404</v>
      </c>
      <c r="E89" s="225" t="n">
        <f aca="false">IS!H42</f>
        <v>33297.7862180378</v>
      </c>
      <c r="F89" s="15"/>
      <c r="K89" s="0"/>
      <c r="L89" s="0"/>
      <c r="M89" s="0"/>
      <c r="N89" s="0"/>
      <c r="O89" s="0"/>
      <c r="P89" s="0"/>
    </row>
    <row r="90" customFormat="false" ht="15.75" hidden="false" customHeight="false" outlineLevel="0" collapsed="false">
      <c r="A90" s="14" t="s">
        <v>225</v>
      </c>
      <c r="B90" s="164" t="n">
        <f aca="false">IS!E55</f>
        <v>3275.87033442294</v>
      </c>
      <c r="C90" s="164" t="n">
        <f aca="false">IS!F55</f>
        <v>3291.63333356309</v>
      </c>
      <c r="D90" s="164" t="n">
        <f aca="false">IS!G55</f>
        <v>10229.9675926747</v>
      </c>
      <c r="E90" s="225" t="n">
        <f aca="false">IS!H55</f>
        <v>17605.9504692211</v>
      </c>
      <c r="F90" s="15"/>
      <c r="K90" s="0"/>
      <c r="L90" s="0"/>
      <c r="M90" s="0"/>
      <c r="N90" s="0"/>
      <c r="O90" s="0"/>
      <c r="P90" s="0"/>
    </row>
    <row r="91" customFormat="false" ht="15.75" hidden="false" customHeight="false" outlineLevel="0" collapsed="false">
      <c r="A91" s="14" t="s">
        <v>226</v>
      </c>
      <c r="B91" s="164" t="n">
        <f aca="false">CF!E18</f>
        <v>-155.700090960827</v>
      </c>
      <c r="C91" s="164" t="n">
        <f aca="false">CF!F18</f>
        <v>190.098598302926</v>
      </c>
      <c r="D91" s="164" t="n">
        <f aca="false">CF!G18</f>
        <v>11865.8011500404</v>
      </c>
      <c r="E91" s="225" t="n">
        <f aca="false">CF!H18</f>
        <v>24257.7862180378</v>
      </c>
      <c r="F91" s="39"/>
      <c r="K91" s="0"/>
      <c r="L91" s="0"/>
      <c r="M91" s="0"/>
      <c r="N91" s="0"/>
      <c r="O91" s="0"/>
      <c r="P91" s="0"/>
    </row>
    <row r="92" customFormat="false" ht="16.5" hidden="false" customHeight="false" outlineLevel="0" collapsed="false">
      <c r="A92" s="35" t="s">
        <v>227</v>
      </c>
      <c r="B92" s="226" t="n">
        <f aca="false">CF!E23</f>
        <v>-303.749565577065</v>
      </c>
      <c r="C92" s="226" t="n">
        <f aca="false">CF!F23</f>
        <v>-336.124885436912</v>
      </c>
      <c r="D92" s="226" t="n">
        <f aca="false">CF!G23</f>
        <v>6592.82245667467</v>
      </c>
      <c r="E92" s="227" t="n">
        <f aca="false">CF!H23</f>
        <v>13990.4195378211</v>
      </c>
      <c r="F92" s="39"/>
      <c r="K92" s="0"/>
      <c r="L92" s="0"/>
      <c r="M92" s="0"/>
      <c r="N92" s="0"/>
      <c r="O92" s="0"/>
      <c r="P92" s="0"/>
    </row>
    <row r="93" customFormat="false" ht="15.75" hidden="false" customHeight="false" outlineLevel="0" collapsed="false">
      <c r="F93" s="15"/>
      <c r="K93" s="0"/>
      <c r="L93" s="0"/>
      <c r="M93" s="0"/>
      <c r="N93" s="0"/>
      <c r="O93" s="0"/>
      <c r="P93" s="0"/>
    </row>
    <row r="94" customFormat="false" ht="15.75" hidden="false" customHeight="false" outlineLevel="0" collapsed="false">
      <c r="F94" s="15"/>
      <c r="K94" s="0"/>
      <c r="L94" s="0"/>
      <c r="M94" s="0"/>
      <c r="N94" s="0"/>
      <c r="O94" s="0"/>
      <c r="P94" s="0"/>
    </row>
    <row r="95" customFormat="false" ht="15.75" hidden="false" customHeight="false" outlineLevel="0" collapsed="false">
      <c r="D95" s="0"/>
      <c r="E95" s="0"/>
      <c r="F95" s="15"/>
      <c r="K95" s="0"/>
      <c r="L95" s="0"/>
      <c r="M95" s="0"/>
      <c r="N95" s="0"/>
      <c r="O95" s="0"/>
      <c r="P95" s="0"/>
    </row>
    <row r="96" customFormat="false" ht="15.75" hidden="false" customHeight="false" outlineLevel="0" collapsed="false">
      <c r="D96" s="0"/>
      <c r="E96" s="0"/>
      <c r="F96" s="18"/>
      <c r="K96" s="0"/>
      <c r="L96" s="0"/>
      <c r="M96" s="0"/>
      <c r="N96" s="0"/>
      <c r="O96" s="0"/>
      <c r="P96" s="0"/>
    </row>
    <row r="97" customFormat="false" ht="15.75" hidden="false" customHeight="false" outlineLevel="0" collapsed="false">
      <c r="D97" s="0"/>
      <c r="E97" s="0"/>
      <c r="F97" s="164"/>
      <c r="K97" s="0"/>
      <c r="L97" s="0"/>
      <c r="M97" s="0"/>
      <c r="N97" s="0"/>
      <c r="O97" s="0"/>
      <c r="P97" s="0"/>
    </row>
    <row r="98" customFormat="false" ht="15.75" hidden="false" customHeight="false" outlineLevel="0" collapsed="false">
      <c r="D98" s="0"/>
      <c r="E98" s="0"/>
      <c r="F98" s="164"/>
      <c r="K98" s="0"/>
      <c r="L98" s="0"/>
      <c r="M98" s="0"/>
      <c r="N98" s="0"/>
      <c r="O98" s="0"/>
      <c r="P98" s="0"/>
    </row>
    <row r="99" customFormat="false" ht="15.75" hidden="false" customHeight="false" outlineLevel="0" collapsed="false">
      <c r="D99" s="0"/>
      <c r="E99" s="0"/>
      <c r="F99" s="164"/>
      <c r="J99" s="224"/>
      <c r="K99" s="0"/>
      <c r="L99" s="0"/>
      <c r="M99" s="0"/>
      <c r="N99" s="0"/>
      <c r="O99" s="0"/>
      <c r="P99" s="0"/>
    </row>
    <row r="100" customFormat="false" ht="15.75" hidden="false" customHeight="false" outlineLevel="0" collapsed="false">
      <c r="D100" s="0"/>
      <c r="E100" s="0"/>
      <c r="F100" s="164"/>
      <c r="J100" s="228"/>
      <c r="K100" s="0"/>
      <c r="L100" s="0"/>
      <c r="M100" s="0"/>
      <c r="N100" s="0"/>
      <c r="O100" s="0"/>
      <c r="P100" s="0"/>
    </row>
    <row r="101" customFormat="false" ht="15.75" hidden="false" customHeight="false" outlineLevel="0" collapsed="false">
      <c r="D101" s="0"/>
      <c r="E101" s="0"/>
      <c r="J101" s="228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D102" s="0"/>
      <c r="E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D115" s="0"/>
      <c r="E115" s="0"/>
      <c r="K115" s="0"/>
      <c r="L115" s="0"/>
      <c r="M115" s="0"/>
      <c r="N115" s="0"/>
      <c r="O115" s="0"/>
      <c r="P115" s="0"/>
    </row>
    <row r="116" customFormat="false" ht="15.75" hidden="false" customHeight="false" outlineLevel="0" collapsed="false">
      <c r="J116" s="228"/>
      <c r="K116" s="0"/>
      <c r="L116" s="0"/>
      <c r="M116" s="0"/>
      <c r="N116" s="0"/>
      <c r="O116" s="0"/>
      <c r="P116" s="0"/>
    </row>
    <row r="117" customFormat="false" ht="15.75" hidden="false" customHeight="false" outlineLevel="0" collapsed="false">
      <c r="J117" s="228"/>
      <c r="K117" s="0"/>
      <c r="L117" s="0"/>
      <c r="M117" s="0"/>
      <c r="N117" s="0"/>
      <c r="O117" s="0"/>
      <c r="P117" s="0"/>
    </row>
    <row r="118" customFormat="false" ht="15.75" hidden="false" customHeight="false" outlineLevel="0" collapsed="false">
      <c r="J118" s="228"/>
      <c r="K118" s="0"/>
      <c r="L118" s="0"/>
      <c r="M118" s="0"/>
      <c r="N118" s="0"/>
      <c r="O118" s="0"/>
      <c r="P118" s="0"/>
    </row>
    <row r="119" customFormat="false" ht="15.75" hidden="false" customHeight="false" outlineLevel="0" collapsed="false">
      <c r="J119" s="228"/>
      <c r="K119" s="0"/>
      <c r="L119" s="0"/>
      <c r="M119" s="0"/>
      <c r="N119" s="0"/>
      <c r="O119" s="0"/>
      <c r="P119" s="0"/>
    </row>
    <row r="120" customFormat="false" ht="15.75" hidden="false" customHeight="false" outlineLevel="0" collapsed="false">
      <c r="J120" s="228"/>
      <c r="K120" s="0"/>
      <c r="L120" s="0"/>
      <c r="M120" s="0"/>
      <c r="N120" s="0"/>
      <c r="O120" s="0"/>
      <c r="P120" s="0"/>
    </row>
    <row r="121" customFormat="false" ht="15.75" hidden="false" customHeight="false" outlineLevel="0" collapsed="false">
      <c r="J121" s="228"/>
      <c r="K121" s="0"/>
      <c r="L121" s="0"/>
      <c r="M121" s="0"/>
      <c r="N121" s="0"/>
      <c r="O121" s="0"/>
      <c r="P121" s="0"/>
    </row>
    <row r="122" customFormat="false" ht="15.75" hidden="false" customHeight="false" outlineLevel="0" collapsed="false">
      <c r="J122" s="228"/>
      <c r="K122" s="0"/>
      <c r="L122" s="0"/>
      <c r="M122" s="0"/>
      <c r="N122" s="0"/>
      <c r="O122" s="0"/>
      <c r="P122" s="0"/>
    </row>
    <row r="123" customFormat="false" ht="15.75" hidden="false" customHeight="false" outlineLevel="0" collapsed="false">
      <c r="J123" s="228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K124" s="0"/>
      <c r="L124" s="0"/>
      <c r="M124" s="0"/>
      <c r="N124" s="0"/>
      <c r="O124" s="0"/>
      <c r="P124" s="0"/>
    </row>
    <row r="128" customFormat="false" ht="12.75" hidden="false" customHeight="false" outlineLevel="0" collapsed="false"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2.75" hidden="false" customHeight="false" outlineLevel="0" collapsed="false"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false" outlineLevel="0" collapsed="false">
      <c r="J130" s="0"/>
      <c r="K130" s="151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2.75" hidden="false" customHeight="false" outlineLevel="0" collapsed="false">
      <c r="J131" s="0"/>
      <c r="K131" s="39"/>
      <c r="L131" s="39"/>
      <c r="M131" s="22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2.75" hidden="false" customHeight="false" outlineLevel="0" collapsed="false">
      <c r="J132" s="0"/>
      <c r="K132" s="39"/>
      <c r="L132" s="39"/>
      <c r="M132" s="22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2.75" hidden="false" customHeight="false" outlineLevel="0" collapsed="false">
      <c r="J133" s="0"/>
      <c r="K133" s="39"/>
      <c r="L133" s="39"/>
      <c r="M133" s="22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false" outlineLevel="0" collapsed="false">
      <c r="J134" s="0"/>
      <c r="K134" s="39"/>
      <c r="L134" s="39"/>
      <c r="M134" s="230"/>
      <c r="N134" s="231"/>
      <c r="O134" s="231"/>
      <c r="P134" s="231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false" outlineLevel="0" collapsed="false">
      <c r="J135" s="0"/>
      <c r="K135" s="231"/>
      <c r="L135" s="231"/>
      <c r="M135" s="76"/>
      <c r="N135" s="232"/>
      <c r="O135" s="232"/>
      <c r="P135" s="232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false" outlineLevel="0" collapsed="false">
      <c r="J136" s="0"/>
      <c r="K136" s="232"/>
      <c r="L136" s="232"/>
      <c r="M136" s="233"/>
      <c r="N136" s="234"/>
      <c r="O136" s="234"/>
      <c r="P136" s="234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false" outlineLevel="0" collapsed="false">
      <c r="J137" s="0"/>
      <c r="K137" s="234"/>
      <c r="L137" s="234"/>
      <c r="M137" s="233"/>
      <c r="N137" s="234"/>
      <c r="O137" s="234"/>
      <c r="P137" s="234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false" outlineLevel="0" collapsed="false">
      <c r="J138" s="0"/>
      <c r="K138" s="234"/>
      <c r="L138" s="234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2.75" hidden="false" customHeight="false" outlineLevel="0" collapsed="false">
      <c r="J139" s="0"/>
      <c r="K139" s="39"/>
      <c r="L139" s="39"/>
    </row>
    <row r="140" customFormat="false" ht="12.75" hidden="false" customHeight="false" outlineLevel="0" collapsed="false">
      <c r="J140" s="0"/>
    </row>
    <row r="141" customFormat="false" ht="15.75" hidden="false" customHeight="false" outlineLevel="0" collapsed="false">
      <c r="J141" s="0"/>
      <c r="K141" s="151"/>
    </row>
    <row r="142" customFormat="false" ht="12.75" hidden="false" customHeight="false" outlineLevel="0" collapsed="false">
      <c r="J142" s="0"/>
      <c r="K142" s="39"/>
    </row>
    <row r="143" customFormat="false" ht="12.75" hidden="false" customHeight="false" outlineLevel="0" collapsed="false">
      <c r="J143" s="0"/>
      <c r="K143" s="39"/>
    </row>
    <row r="144" customFormat="false" ht="12.75" hidden="false" customHeight="false" outlineLevel="0" collapsed="false">
      <c r="J144" s="0"/>
      <c r="K144" s="39"/>
    </row>
    <row r="145" customFormat="false" ht="12.75" hidden="false" customHeight="false" outlineLevel="0" collapsed="false">
      <c r="J145" s="0"/>
      <c r="K145" s="39"/>
    </row>
    <row r="146" customFormat="false" ht="12.75" hidden="false" customHeight="false" outlineLevel="0" collapsed="false">
      <c r="J146" s="0"/>
      <c r="K146" s="39"/>
    </row>
    <row r="147" customFormat="false" ht="12.75" hidden="false" customHeight="false" outlineLevel="0" collapsed="false">
      <c r="J147" s="0"/>
      <c r="K147" s="39"/>
    </row>
    <row r="148" customFormat="false" ht="15.75" hidden="false" customHeight="false" outlineLevel="0" collapsed="false">
      <c r="J148" s="0"/>
      <c r="K148" s="231"/>
    </row>
    <row r="149" customFormat="false" ht="15.75" hidden="false" customHeight="false" outlineLevel="0" collapsed="false">
      <c r="J149" s="0"/>
      <c r="K149" s="232"/>
    </row>
    <row r="150" customFormat="false" ht="15.75" hidden="false" customHeight="false" outlineLevel="0" collapsed="false">
      <c r="J150" s="0"/>
      <c r="K150" s="234"/>
    </row>
    <row r="151" customFormat="false" ht="15.75" hidden="false" customHeight="false" outlineLevel="0" collapsed="false">
      <c r="J151" s="0"/>
      <c r="K151" s="234"/>
    </row>
    <row r="152" customFormat="false" ht="12.75" hidden="false" customHeight="false" outlineLevel="0" collapsed="false">
      <c r="J152" s="0"/>
    </row>
    <row r="153" customFormat="false" ht="12.75" hidden="false" customHeight="false" outlineLevel="0" collapsed="false">
      <c r="J153" s="0"/>
    </row>
    <row r="154" customFormat="false" ht="12.75" hidden="false" customHeight="false" outlineLevel="0" collapsed="false">
      <c r="J154" s="0"/>
    </row>
    <row r="155" customFormat="false" ht="12.75" hidden="false" customHeight="false" outlineLevel="0" collapsed="false">
      <c r="J155" s="0"/>
    </row>
    <row r="156" customFormat="false" ht="12.75" hidden="false" customHeight="false" outlineLevel="0" collapsed="false">
      <c r="J156" s="0"/>
    </row>
    <row r="157" customFormat="false" ht="12.75" hidden="false" customHeight="false" outlineLevel="0" collapsed="false">
      <c r="G157" s="0"/>
      <c r="H157" s="0"/>
      <c r="I157" s="0"/>
      <c r="J157" s="0"/>
    </row>
    <row r="158" customFormat="false" ht="12.75" hidden="false" customHeight="false" outlineLevel="0" collapsed="false">
      <c r="G158" s="0"/>
      <c r="H158" s="0"/>
      <c r="I158" s="0"/>
    </row>
    <row r="159" customFormat="false" ht="12.75" hidden="false" customHeight="false" outlineLevel="0" collapsed="false">
      <c r="D159" s="0"/>
      <c r="E159" s="0"/>
      <c r="G159" s="0"/>
      <c r="H159" s="0"/>
      <c r="I159" s="0"/>
    </row>
    <row r="160" customFormat="false" ht="12.75" hidden="false" customHeight="false" outlineLevel="0" collapsed="false">
      <c r="D160" s="0"/>
      <c r="E160" s="0"/>
      <c r="G160" s="0"/>
      <c r="H160" s="0"/>
      <c r="I160" s="0"/>
    </row>
    <row r="161" customFormat="false" ht="12.75" hidden="false" customHeight="false" outlineLevel="0" collapsed="false">
      <c r="D161" s="0"/>
      <c r="E161" s="0"/>
      <c r="G161" s="0"/>
      <c r="H161" s="0"/>
      <c r="I161" s="0"/>
    </row>
    <row r="162" customFormat="false" ht="12.75" hidden="false" customHeight="false" outlineLevel="0" collapsed="false">
      <c r="D162" s="0"/>
      <c r="E162" s="0"/>
      <c r="G162" s="0"/>
      <c r="H162" s="0"/>
      <c r="I162" s="0"/>
    </row>
    <row r="165" customFormat="false" ht="12.75" hidden="false" customHeight="false" outlineLevel="0" collapsed="false">
      <c r="G165" s="0"/>
      <c r="H165" s="0"/>
      <c r="I165" s="0"/>
    </row>
    <row r="166" customFormat="false" ht="12.75" hidden="false" customHeight="false" outlineLevel="0" collapsed="false">
      <c r="G166" s="0"/>
      <c r="H166" s="0"/>
      <c r="I166" s="0"/>
    </row>
    <row r="167" customFormat="false" ht="12.75" hidden="false" customHeight="false" outlineLevel="0" collapsed="false">
      <c r="G167" s="0"/>
      <c r="H167" s="0"/>
      <c r="I167" s="0"/>
    </row>
    <row r="168" customFormat="false" ht="12.75" hidden="false" customHeight="false" outlineLevel="0" collapsed="false">
      <c r="G168" s="0"/>
      <c r="H168" s="0"/>
      <c r="I168" s="0"/>
    </row>
    <row r="169" customFormat="false" ht="12.75" hidden="false" customHeight="false" outlineLevel="0" collapsed="false">
      <c r="G169" s="0"/>
      <c r="H169" s="0"/>
      <c r="I169" s="0"/>
    </row>
    <row r="170" customFormat="false" ht="12.75" hidden="false" customHeight="false" outlineLevel="0" collapsed="false">
      <c r="G170" s="0"/>
      <c r="H170" s="0"/>
      <c r="I17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0" activeCellId="0" sqref="F1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9" min="5" style="5" width="9.85"/>
    <col collapsed="false" customWidth="true" hidden="false" outlineLevel="0" max="11" min="10" style="5" width="11.56"/>
    <col collapsed="false" customWidth="true" hidden="false" outlineLevel="0" max="12" min="12" style="5" width="10.28"/>
    <col collapsed="false" customWidth="true" hidden="false" outlineLevel="0" max="26" min="13" style="5" width="9.85"/>
    <col collapsed="false" customWidth="false" hidden="false" outlineLevel="0" max="257" min="27" style="5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3" customFormat="false" ht="12" hidden="false" customHeight="true" outlineLevel="0" collapsed="false">
      <c r="A3" s="4"/>
      <c r="E3" s="235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customFormat="false" ht="18.75" hidden="false" customHeight="false" outlineLevel="0" collapsed="false">
      <c r="A4" s="2" t="s">
        <v>228</v>
      </c>
      <c r="B4" s="237"/>
      <c r="C4" s="29"/>
      <c r="D4" s="29"/>
      <c r="E4" s="235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</row>
    <row r="5" customFormat="false" ht="15.75" hidden="false" customHeight="false" outlineLevel="0" collapsed="false"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</row>
    <row r="6" customFormat="false" ht="15.75" hidden="false" customHeight="false" outlineLevel="0" collapsed="false">
      <c r="A6" s="172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172"/>
      <c r="B7" s="3" t="s">
        <v>229</v>
      </c>
      <c r="C7" s="238" t="n">
        <f aca="false">Assumptions!I64</f>
        <v>0.03</v>
      </c>
      <c r="D7" s="23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40"/>
      <c r="C8" s="241"/>
      <c r="D8" s="241"/>
      <c r="E8" s="15"/>
      <c r="F8" s="15"/>
      <c r="G8" s="15"/>
      <c r="H8" s="15"/>
      <c r="I8" s="24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243"/>
      <c r="B9" s="15"/>
      <c r="C9" s="15"/>
      <c r="D9" s="15"/>
      <c r="E9" s="244"/>
      <c r="F9" s="245" t="n">
        <f aca="false">(Assumptions!I17/12)</f>
        <v>0.5</v>
      </c>
      <c r="G9" s="245" t="n">
        <f aca="false">F9+1</f>
        <v>1.5</v>
      </c>
      <c r="H9" s="245" t="n">
        <f aca="false">G9+1</f>
        <v>2.5</v>
      </c>
      <c r="I9" s="245" t="n">
        <f aca="false">H9+1</f>
        <v>3.5</v>
      </c>
      <c r="J9" s="245" t="n">
        <f aca="false">I9+1</f>
        <v>4.5</v>
      </c>
      <c r="K9" s="245" t="n">
        <f aca="false">J9+1</f>
        <v>5.5</v>
      </c>
      <c r="L9" s="245" t="n">
        <f aca="false">K9+1</f>
        <v>6.5</v>
      </c>
      <c r="M9" s="245" t="n">
        <f aca="false">L9+1</f>
        <v>7.5</v>
      </c>
      <c r="N9" s="245" t="n">
        <f aca="false">M9+1</f>
        <v>8.5</v>
      </c>
      <c r="O9" s="245" t="n">
        <f aca="false">N9+1</f>
        <v>9.5</v>
      </c>
      <c r="P9" s="245" t="n">
        <f aca="false">O9+1</f>
        <v>10.5</v>
      </c>
      <c r="Q9" s="245" t="n">
        <f aca="false">P9+1</f>
        <v>11.5</v>
      </c>
      <c r="R9" s="245" t="n">
        <f aca="false">Q9+1</f>
        <v>12.5</v>
      </c>
      <c r="S9" s="245" t="n">
        <f aca="false">R9+1</f>
        <v>13.5</v>
      </c>
      <c r="T9" s="245" t="n">
        <f aca="false">S9+1</f>
        <v>14.5</v>
      </c>
      <c r="U9" s="245" t="n">
        <f aca="false">T9+1</f>
        <v>15.5</v>
      </c>
      <c r="V9" s="245" t="n">
        <f aca="false">U9+1</f>
        <v>16.5</v>
      </c>
      <c r="W9" s="245" t="n">
        <f aca="false">V9+1</f>
        <v>17.5</v>
      </c>
      <c r="X9" s="245" t="n">
        <f aca="false">W9+1</f>
        <v>18.5</v>
      </c>
      <c r="Y9" s="245" t="n">
        <f aca="false">X9+1</f>
        <v>19.5</v>
      </c>
      <c r="Z9" s="245" t="n">
        <f aca="false">Y9+1</f>
        <v>20.5</v>
      </c>
      <c r="AA9" s="245" t="n">
        <f aca="false">Z9+1</f>
        <v>21.5</v>
      </c>
    </row>
    <row r="10" customFormat="false" ht="15.75" hidden="false" customHeight="false" outlineLevel="0" collapsed="false">
      <c r="A10" s="15"/>
      <c r="B10" s="15"/>
      <c r="C10" s="15"/>
      <c r="D10" s="15"/>
      <c r="E10" s="246"/>
      <c r="F10" s="246" t="n">
        <f aca="false">YEAR(Assumptions!I16)</f>
        <v>2002</v>
      </c>
      <c r="G10" s="246" t="n">
        <f aca="false">F10+1</f>
        <v>2003</v>
      </c>
      <c r="H10" s="246" t="n">
        <f aca="false">G10+1</f>
        <v>2004</v>
      </c>
      <c r="I10" s="246" t="n">
        <f aca="false">H10+1</f>
        <v>2005</v>
      </c>
      <c r="J10" s="246" t="n">
        <f aca="false">I10+1</f>
        <v>2006</v>
      </c>
      <c r="K10" s="246" t="n">
        <f aca="false">J10+1</f>
        <v>2007</v>
      </c>
      <c r="L10" s="246" t="n">
        <f aca="false">K10+1</f>
        <v>2008</v>
      </c>
      <c r="M10" s="246" t="n">
        <f aca="false">L10+1</f>
        <v>2009</v>
      </c>
      <c r="N10" s="246" t="n">
        <f aca="false">M10+1</f>
        <v>2010</v>
      </c>
      <c r="O10" s="246" t="n">
        <f aca="false">N10+1</f>
        <v>2011</v>
      </c>
      <c r="P10" s="246" t="n">
        <f aca="false">O10+1</f>
        <v>2012</v>
      </c>
      <c r="Q10" s="246" t="n">
        <f aca="false">P10+1</f>
        <v>2013</v>
      </c>
      <c r="R10" s="246" t="n">
        <f aca="false">Q10+1</f>
        <v>2014</v>
      </c>
      <c r="S10" s="246" t="n">
        <f aca="false">R10+1</f>
        <v>2015</v>
      </c>
      <c r="T10" s="246" t="n">
        <f aca="false">S10+1</f>
        <v>2016</v>
      </c>
      <c r="U10" s="246" t="n">
        <f aca="false">T10+1</f>
        <v>2017</v>
      </c>
      <c r="V10" s="246" t="n">
        <f aca="false">U10+1</f>
        <v>2018</v>
      </c>
      <c r="W10" s="246" t="n">
        <f aca="false">V10+1</f>
        <v>2019</v>
      </c>
      <c r="X10" s="246" t="n">
        <f aca="false">W10+1</f>
        <v>2020</v>
      </c>
      <c r="Y10" s="246" t="n">
        <f aca="false">X10+1</f>
        <v>2021</v>
      </c>
      <c r="Z10" s="246" t="n">
        <f aca="false">Y10+1</f>
        <v>2022</v>
      </c>
      <c r="AA10" s="246" t="n">
        <f aca="false">Z10+1</f>
        <v>2023</v>
      </c>
    </row>
    <row r="11" customFormat="false" ht="15.75" hidden="false" customHeight="false" outlineLevel="0" collapsed="false">
      <c r="A11" s="15"/>
      <c r="B11" s="15"/>
      <c r="C11" s="15"/>
      <c r="D11" s="15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</row>
    <row r="12" customFormat="false" ht="15.75" hidden="false" customHeight="false" outlineLevel="0" collapsed="false">
      <c r="A12" s="247" t="s">
        <v>230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15"/>
      <c r="B13" s="15" t="s">
        <v>231</v>
      </c>
      <c r="C13" s="248"/>
      <c r="D13" s="248"/>
      <c r="E13" s="249"/>
      <c r="F13" s="250" t="n">
        <v>62.1359223300971</v>
      </c>
      <c r="G13" s="250" t="n">
        <v>64</v>
      </c>
      <c r="H13" s="250" t="n">
        <v>62</v>
      </c>
      <c r="I13" s="250" t="n">
        <v>61</v>
      </c>
      <c r="J13" s="250" t="n">
        <v>59</v>
      </c>
      <c r="K13" s="250" t="n">
        <v>58</v>
      </c>
      <c r="L13" s="250" t="n">
        <v>57</v>
      </c>
      <c r="M13" s="250" t="n">
        <v>56</v>
      </c>
      <c r="N13" s="250" t="n">
        <v>56</v>
      </c>
      <c r="O13" s="250" t="n">
        <v>55</v>
      </c>
      <c r="P13" s="250" t="n">
        <v>55</v>
      </c>
      <c r="Q13" s="250" t="n">
        <v>54</v>
      </c>
      <c r="R13" s="250" t="n">
        <v>54</v>
      </c>
      <c r="S13" s="250" t="n">
        <v>53</v>
      </c>
      <c r="T13" s="250" t="n">
        <v>52</v>
      </c>
      <c r="U13" s="250" t="n">
        <v>51</v>
      </c>
      <c r="V13" s="250" t="n">
        <v>50</v>
      </c>
      <c r="W13" s="250" t="n">
        <v>49</v>
      </c>
      <c r="X13" s="250" t="n">
        <v>48</v>
      </c>
      <c r="Y13" s="250" t="n">
        <v>47</v>
      </c>
      <c r="Z13" s="250" t="n">
        <v>46</v>
      </c>
      <c r="AA13" s="250" t="n">
        <v>45</v>
      </c>
    </row>
    <row r="14" customFormat="false" ht="15.75" hidden="false" customHeight="false" outlineLevel="0" collapsed="false">
      <c r="A14" s="15"/>
      <c r="B14" s="15" t="s">
        <v>232</v>
      </c>
      <c r="C14" s="15"/>
      <c r="D14" s="15"/>
      <c r="E14" s="249"/>
      <c r="F14" s="250" t="n">
        <v>49.5145631067961</v>
      </c>
      <c r="G14" s="250" t="n">
        <v>51</v>
      </c>
      <c r="H14" s="250" t="n">
        <v>52</v>
      </c>
      <c r="I14" s="250" t="n">
        <v>52</v>
      </c>
      <c r="J14" s="250" t="n">
        <v>52</v>
      </c>
      <c r="K14" s="250" t="n">
        <v>52</v>
      </c>
      <c r="L14" s="250" t="n">
        <v>52</v>
      </c>
      <c r="M14" s="250" t="n">
        <v>50</v>
      </c>
      <c r="N14" s="250" t="n">
        <v>48</v>
      </c>
      <c r="O14" s="250" t="n">
        <v>45</v>
      </c>
      <c r="P14" s="250" t="n">
        <v>43</v>
      </c>
      <c r="Q14" s="250" t="n">
        <v>41</v>
      </c>
      <c r="R14" s="250" t="n">
        <v>40</v>
      </c>
      <c r="S14" s="250" t="n">
        <v>39</v>
      </c>
      <c r="T14" s="250" t="n">
        <v>37</v>
      </c>
      <c r="U14" s="250" t="n">
        <v>36</v>
      </c>
      <c r="V14" s="250" t="n">
        <v>35</v>
      </c>
      <c r="W14" s="250" t="n">
        <v>35</v>
      </c>
      <c r="X14" s="250" t="n">
        <v>35</v>
      </c>
      <c r="Y14" s="250" t="n">
        <v>34</v>
      </c>
      <c r="Z14" s="250" t="n">
        <v>34</v>
      </c>
      <c r="AA14" s="250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</row>
    <row r="16" customFormat="false" ht="15.75" hidden="false" customHeight="false" outlineLevel="0" collapsed="false">
      <c r="A16" s="247" t="s">
        <v>233</v>
      </c>
      <c r="B16" s="15"/>
      <c r="C16" s="15"/>
      <c r="D16" s="15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</row>
    <row r="17" customFormat="false" ht="15.75" hidden="false" customHeight="false" outlineLevel="0" collapsed="false">
      <c r="A17" s="15"/>
      <c r="B17" s="15" t="s">
        <v>234</v>
      </c>
      <c r="C17" s="251"/>
      <c r="D17" s="251"/>
      <c r="E17" s="249"/>
      <c r="F17" s="250" t="n">
        <v>65.92</v>
      </c>
      <c r="G17" s="250" t="n">
        <v>67.8976</v>
      </c>
      <c r="H17" s="250" t="n">
        <v>67.749074</v>
      </c>
      <c r="I17" s="250" t="n">
        <v>68.65603741</v>
      </c>
      <c r="J17" s="250" t="n">
        <v>68.3971703837</v>
      </c>
      <c r="K17" s="250" t="n">
        <v>69.255033198682</v>
      </c>
      <c r="L17" s="250" t="n">
        <v>70.1028103292176</v>
      </c>
      <c r="M17" s="250" t="n">
        <v>70.9391245577065</v>
      </c>
      <c r="N17" s="250" t="n">
        <v>73.0672982944377</v>
      </c>
      <c r="O17" s="250" t="n">
        <v>73.9154008639267</v>
      </c>
      <c r="P17" s="250" t="n">
        <v>76.1328628898445</v>
      </c>
      <c r="Q17" s="250" t="n">
        <v>76.9910878896937</v>
      </c>
      <c r="R17" s="250" t="n">
        <v>79.3008205263845</v>
      </c>
      <c r="S17" s="250" t="n">
        <v>80.1672554173209</v>
      </c>
      <c r="T17" s="250" t="n">
        <v>81.0143056632398</v>
      </c>
      <c r="U17" s="250" t="n">
        <v>81.8400283940381</v>
      </c>
      <c r="V17" s="250" t="n">
        <v>82.6423816135875</v>
      </c>
      <c r="W17" s="250" t="n">
        <v>83.4192200007553</v>
      </c>
      <c r="X17" s="250" t="n">
        <v>84.1682905477008</v>
      </c>
      <c r="Y17" s="250" t="n">
        <v>84.8872280294624</v>
      </c>
      <c r="Z17" s="250" t="n">
        <v>85.5735502986368</v>
      </c>
      <c r="AA17" s="250" t="n">
        <v>86.2246533987351</v>
      </c>
    </row>
    <row r="18" customFormat="false" ht="15.75" hidden="false" customHeight="false" outlineLevel="0" collapsed="false">
      <c r="A18" s="15"/>
      <c r="B18" s="15" t="s">
        <v>232</v>
      </c>
      <c r="C18" s="15"/>
      <c r="D18" s="15"/>
      <c r="E18" s="249"/>
      <c r="F18" s="250" t="n">
        <v>52.53</v>
      </c>
      <c r="G18" s="250" t="n">
        <v>54.1059</v>
      </c>
      <c r="H18" s="250" t="n">
        <v>56.821804</v>
      </c>
      <c r="I18" s="250" t="n">
        <v>58.52645812</v>
      </c>
      <c r="J18" s="250" t="n">
        <v>60.2822518636</v>
      </c>
      <c r="K18" s="250" t="n">
        <v>62.090719419508</v>
      </c>
      <c r="L18" s="250" t="n">
        <v>63.9534410020932</v>
      </c>
      <c r="M18" s="250" t="n">
        <v>63.3385040693808</v>
      </c>
      <c r="N18" s="250" t="n">
        <v>62.6291128238037</v>
      </c>
      <c r="O18" s="250" t="n">
        <v>60.4762370704855</v>
      </c>
      <c r="P18" s="250" t="n">
        <v>59.5220564411512</v>
      </c>
      <c r="Q18" s="250" t="n">
        <v>58.4561963606933</v>
      </c>
      <c r="R18" s="250" t="n">
        <v>58.7413485380626</v>
      </c>
      <c r="S18" s="250" t="n">
        <v>58.9909992693493</v>
      </c>
      <c r="T18" s="250" t="n">
        <v>57.6447944142283</v>
      </c>
      <c r="U18" s="250" t="n">
        <v>57.7694318075563</v>
      </c>
      <c r="V18" s="250" t="n">
        <v>57.8496671295113</v>
      </c>
      <c r="W18" s="250" t="n">
        <v>59.5851571433966</v>
      </c>
      <c r="X18" s="250" t="n">
        <v>61.3727118576985</v>
      </c>
      <c r="Y18" s="250" t="n">
        <v>61.4077819787601</v>
      </c>
      <c r="Z18" s="250" t="n">
        <v>63.2500154381228</v>
      </c>
      <c r="AA18" s="250" t="n">
        <v>65.1475159012665</v>
      </c>
    </row>
    <row r="19" customFormat="false" ht="15.75" hidden="false" customHeight="false" outlineLevel="0" collapsed="false">
      <c r="A19" s="15"/>
      <c r="B19" s="15"/>
      <c r="C19" s="15"/>
      <c r="D19" s="15"/>
      <c r="E19" s="15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</row>
    <row r="20" customFormat="false" ht="15.75" hidden="false" customHeight="false" outlineLevel="0" collapsed="false">
      <c r="A20" s="15" t="n">
        <v>1</v>
      </c>
      <c r="B20" s="15" t="s">
        <v>235</v>
      </c>
      <c r="C20" s="15"/>
      <c r="D20" s="15"/>
      <c r="E20" s="252"/>
      <c r="F20" s="252" t="n">
        <f aca="false">F17/12</f>
        <v>5.49333333333333</v>
      </c>
      <c r="G20" s="252" t="n">
        <f aca="false">G17/12</f>
        <v>5.65813333333333</v>
      </c>
      <c r="H20" s="252" t="n">
        <f aca="false">H17/12</f>
        <v>5.64575616666667</v>
      </c>
      <c r="I20" s="252" t="n">
        <f aca="false">I17/12</f>
        <v>5.72133645083333</v>
      </c>
      <c r="J20" s="252" t="n">
        <f aca="false">J17/12</f>
        <v>5.69976419864167</v>
      </c>
      <c r="K20" s="252" t="n">
        <f aca="false">K17/12</f>
        <v>5.77125276655683</v>
      </c>
      <c r="L20" s="252" t="n">
        <f aca="false">L17/12</f>
        <v>5.84190086076813</v>
      </c>
      <c r="M20" s="252" t="n">
        <f aca="false">M17/12</f>
        <v>5.91159371314221</v>
      </c>
      <c r="N20" s="252" t="n">
        <f aca="false">N17/12</f>
        <v>6.08894152453647</v>
      </c>
      <c r="O20" s="252" t="n">
        <f aca="false">O17/12</f>
        <v>6.15961673866056</v>
      </c>
      <c r="P20" s="252" t="n">
        <f aca="false">P17/12</f>
        <v>6.34440524082038</v>
      </c>
      <c r="Q20" s="252" t="n">
        <f aca="false">Q17/12</f>
        <v>6.4159239908078</v>
      </c>
      <c r="R20" s="252" t="n">
        <f aca="false">R17/12</f>
        <v>6.60840171053204</v>
      </c>
      <c r="S20" s="252" t="n">
        <f aca="false">S17/12</f>
        <v>6.68060461811007</v>
      </c>
      <c r="T20" s="252" t="n">
        <f aca="false">T17/12</f>
        <v>6.75119213860331</v>
      </c>
      <c r="U20" s="252" t="n">
        <f aca="false">U17/12</f>
        <v>6.82000236616985</v>
      </c>
      <c r="V20" s="252" t="n">
        <f aca="false">V17/12</f>
        <v>6.88686513446563</v>
      </c>
      <c r="W20" s="252" t="n">
        <f aca="false">W17/12</f>
        <v>6.95160166672961</v>
      </c>
      <c r="X20" s="252" t="n">
        <f aca="false">X17/12</f>
        <v>7.0140242123084</v>
      </c>
      <c r="Y20" s="252" t="n">
        <f aca="false">Y17/12</f>
        <v>7.07393566912187</v>
      </c>
      <c r="Z20" s="252" t="n">
        <f aca="false">Z17/12</f>
        <v>7.13112919155307</v>
      </c>
      <c r="AA20" s="252" t="n">
        <f aca="false">AA17/12</f>
        <v>7.18538778322793</v>
      </c>
    </row>
    <row r="21" customFormat="false" ht="15.75" hidden="false" customHeight="false" outlineLevel="0" collapsed="false">
      <c r="A21" s="15" t="n">
        <v>2</v>
      </c>
      <c r="B21" s="15" t="s">
        <v>236</v>
      </c>
      <c r="C21" s="15"/>
      <c r="D21" s="15"/>
      <c r="E21" s="252"/>
      <c r="F21" s="252" t="n">
        <f aca="false">F18/12</f>
        <v>4.3775</v>
      </c>
      <c r="G21" s="252" t="n">
        <f aca="false">G18/12</f>
        <v>4.508825</v>
      </c>
      <c r="H21" s="252" t="n">
        <f aca="false">H18/12</f>
        <v>4.73515033333333</v>
      </c>
      <c r="I21" s="252" t="n">
        <f aca="false">I18/12</f>
        <v>4.87720484333333</v>
      </c>
      <c r="J21" s="252" t="n">
        <f aca="false">J18/12</f>
        <v>5.02352098863333</v>
      </c>
      <c r="K21" s="252" t="n">
        <f aca="false">K18/12</f>
        <v>5.17422661829233</v>
      </c>
      <c r="L21" s="252" t="n">
        <f aca="false">L18/12</f>
        <v>5.3294534168411</v>
      </c>
      <c r="M21" s="252" t="n">
        <f aca="false">M18/12</f>
        <v>5.2782086724484</v>
      </c>
      <c r="N21" s="252" t="n">
        <f aca="false">N18/12</f>
        <v>5.21909273531698</v>
      </c>
      <c r="O21" s="252" t="n">
        <f aca="false">O18/12</f>
        <v>5.03968642254046</v>
      </c>
      <c r="P21" s="252" t="n">
        <f aca="false">P18/12</f>
        <v>4.96017137009593</v>
      </c>
      <c r="Q21" s="252" t="n">
        <f aca="false">Q18/12</f>
        <v>4.87134969672444</v>
      </c>
      <c r="R21" s="252" t="n">
        <f aca="false">R18/12</f>
        <v>4.89511237817188</v>
      </c>
      <c r="S21" s="252" t="n">
        <f aca="false">S18/12</f>
        <v>4.91591660577911</v>
      </c>
      <c r="T21" s="252" t="n">
        <f aca="false">T18/12</f>
        <v>4.80373286785236</v>
      </c>
      <c r="U21" s="252" t="n">
        <f aca="false">U18/12</f>
        <v>4.81411931729636</v>
      </c>
      <c r="V21" s="252" t="n">
        <f aca="false">V18/12</f>
        <v>4.82080559412594</v>
      </c>
      <c r="W21" s="252" t="n">
        <f aca="false">W18/12</f>
        <v>4.96542976194972</v>
      </c>
      <c r="X21" s="252" t="n">
        <f aca="false">X18/12</f>
        <v>5.11439265480821</v>
      </c>
      <c r="Y21" s="252" t="n">
        <f aca="false">Y18/12</f>
        <v>5.11731516489667</v>
      </c>
      <c r="Z21" s="252" t="n">
        <f aca="false">Z18/12</f>
        <v>5.27083461984357</v>
      </c>
      <c r="AA21" s="252" t="n">
        <f aca="false">AA18/12</f>
        <v>5.42895965843888</v>
      </c>
    </row>
    <row r="22" customFormat="false" ht="15.75" hidden="false" customHeight="false" outlineLevel="0" collapsed="false">
      <c r="A22" s="15" t="n">
        <v>3</v>
      </c>
      <c r="B22" s="15" t="s">
        <v>237</v>
      </c>
      <c r="C22" s="15"/>
      <c r="D22" s="15"/>
      <c r="E22" s="252"/>
      <c r="F22" s="250" t="n">
        <v>0</v>
      </c>
      <c r="G22" s="250" t="n">
        <v>0</v>
      </c>
      <c r="H22" s="250" t="n">
        <v>0</v>
      </c>
      <c r="I22" s="250" t="n">
        <v>0</v>
      </c>
      <c r="J22" s="250" t="n">
        <v>0</v>
      </c>
      <c r="K22" s="250" t="n">
        <v>0</v>
      </c>
      <c r="L22" s="250" t="n">
        <v>0</v>
      </c>
      <c r="M22" s="250" t="n">
        <v>0</v>
      </c>
      <c r="N22" s="250" t="n">
        <v>0</v>
      </c>
      <c r="O22" s="250" t="n">
        <v>0</v>
      </c>
      <c r="P22" s="250" t="n">
        <v>0</v>
      </c>
      <c r="Q22" s="250" t="n">
        <v>0</v>
      </c>
      <c r="R22" s="250" t="n">
        <v>0</v>
      </c>
      <c r="S22" s="250" t="n">
        <v>0</v>
      </c>
      <c r="T22" s="250" t="n">
        <v>0</v>
      </c>
      <c r="U22" s="250" t="n">
        <v>0</v>
      </c>
      <c r="V22" s="250" t="n">
        <v>0</v>
      </c>
      <c r="W22" s="250" t="n">
        <v>0</v>
      </c>
      <c r="X22" s="250" t="n">
        <v>0</v>
      </c>
      <c r="Y22" s="250" t="n">
        <v>0</v>
      </c>
      <c r="Z22" s="250" t="n">
        <v>0</v>
      </c>
      <c r="AA22" s="250" t="n">
        <v>0</v>
      </c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</row>
    <row r="23" customFormat="false" ht="15.75" hidden="false" customHeight="false" outlineLevel="0" collapsed="false">
      <c r="A23" s="15" t="n">
        <v>4</v>
      </c>
      <c r="B23" s="15" t="s">
        <v>238</v>
      </c>
      <c r="C23" s="15"/>
      <c r="D23" s="15"/>
      <c r="E23" s="252"/>
      <c r="F23" s="250" t="n">
        <v>4</v>
      </c>
      <c r="G23" s="250" t="n">
        <v>4</v>
      </c>
      <c r="H23" s="250" t="n">
        <v>4</v>
      </c>
      <c r="I23" s="250" t="n">
        <v>4</v>
      </c>
      <c r="J23" s="250" t="n">
        <v>4</v>
      </c>
      <c r="K23" s="250" t="n">
        <v>4</v>
      </c>
      <c r="L23" s="250" t="n">
        <v>4</v>
      </c>
      <c r="M23" s="250" t="n">
        <v>4</v>
      </c>
      <c r="N23" s="250" t="n">
        <v>4</v>
      </c>
      <c r="O23" s="250" t="n">
        <v>4</v>
      </c>
      <c r="P23" s="250" t="n">
        <v>4</v>
      </c>
      <c r="Q23" s="250" t="n">
        <v>4</v>
      </c>
      <c r="R23" s="250" t="n">
        <v>4</v>
      </c>
      <c r="S23" s="250" t="n">
        <v>4</v>
      </c>
      <c r="T23" s="250" t="n">
        <v>4</v>
      </c>
      <c r="U23" s="250" t="n">
        <v>4</v>
      </c>
      <c r="V23" s="250" t="n">
        <v>4</v>
      </c>
      <c r="W23" s="250" t="n">
        <v>4</v>
      </c>
      <c r="X23" s="250" t="n">
        <v>4</v>
      </c>
      <c r="Y23" s="250" t="n">
        <v>4</v>
      </c>
      <c r="Z23" s="250" t="n">
        <v>4</v>
      </c>
      <c r="AA23" s="250" t="n">
        <v>4</v>
      </c>
    </row>
    <row r="24" customFormat="false" ht="15.75" hidden="false" customHeight="false" outlineLevel="0" collapsed="false">
      <c r="A24" s="15"/>
      <c r="B24" s="15"/>
      <c r="C24" s="15"/>
      <c r="D24" s="15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</row>
    <row r="25" customFormat="false" ht="15.75" hidden="false" customHeight="false" outlineLevel="0" collapsed="false">
      <c r="A25" s="15"/>
      <c r="B25" s="3" t="s">
        <v>239</v>
      </c>
      <c r="C25" s="253" t="n">
        <v>1</v>
      </c>
      <c r="D25" s="254"/>
      <c r="F25" s="255" t="n">
        <f aca="false">CHOOSE($C$25,F20,F21,F22,F23)</f>
        <v>5.49333333333333</v>
      </c>
      <c r="G25" s="255" t="n">
        <f aca="false">CHOOSE($C$25,G20,G21,G22,G23)</f>
        <v>5.65813333333333</v>
      </c>
      <c r="H25" s="255" t="n">
        <f aca="false">CHOOSE($C$25,H20,H21,H22,H23)</f>
        <v>5.64575616666667</v>
      </c>
      <c r="I25" s="255" t="n">
        <f aca="false">CHOOSE($C$25,I20,I21,I22,I23)</f>
        <v>5.72133645083333</v>
      </c>
      <c r="J25" s="255" t="n">
        <f aca="false">CHOOSE($C$25,J20,J21,J22,J23)</f>
        <v>5.69976419864167</v>
      </c>
      <c r="K25" s="255" t="n">
        <f aca="false">CHOOSE($C$25,K20,K21,K22,K23)</f>
        <v>5.77125276655683</v>
      </c>
      <c r="L25" s="255" t="n">
        <f aca="false">CHOOSE($C$25,L20,L21,L22,L23)</f>
        <v>5.84190086076813</v>
      </c>
      <c r="M25" s="255" t="n">
        <f aca="false">CHOOSE($C$25,M20,M21,M22,M23)</f>
        <v>5.91159371314221</v>
      </c>
      <c r="N25" s="255" t="n">
        <f aca="false">CHOOSE($C$25,N20,N21,N22,N23)</f>
        <v>6.08894152453647</v>
      </c>
      <c r="O25" s="255" t="n">
        <f aca="false">CHOOSE($C$25,O20,O21,O22,O23)</f>
        <v>6.15961673866056</v>
      </c>
      <c r="P25" s="255" t="n">
        <f aca="false">CHOOSE($C$25,P20,P21,P22,P23)</f>
        <v>6.34440524082038</v>
      </c>
      <c r="Q25" s="255" t="n">
        <f aca="false">CHOOSE($C$25,Q20,Q21,Q22,Q23)</f>
        <v>6.4159239908078</v>
      </c>
      <c r="R25" s="255" t="n">
        <f aca="false">CHOOSE($C$25,R20,R21,R22,R23)</f>
        <v>6.60840171053204</v>
      </c>
      <c r="S25" s="255" t="n">
        <f aca="false">CHOOSE($C$25,S20,S21,S22,S23)</f>
        <v>6.68060461811007</v>
      </c>
      <c r="T25" s="255" t="n">
        <f aca="false">CHOOSE($C$25,T20,T21,T22,T23)</f>
        <v>6.75119213860331</v>
      </c>
      <c r="U25" s="255" t="n">
        <f aca="false">CHOOSE($C$25,U20,U21,U22,U23)</f>
        <v>6.82000236616985</v>
      </c>
      <c r="V25" s="255" t="n">
        <f aca="false">CHOOSE($C$25,V20,V21,V22,V23)</f>
        <v>6.88686513446563</v>
      </c>
      <c r="W25" s="255" t="n">
        <f aca="false">CHOOSE($C$25,W20,W21,W22,W23)</f>
        <v>6.95160166672961</v>
      </c>
      <c r="X25" s="255" t="n">
        <f aca="false">CHOOSE($C$25,X20,X21,X22,X23)</f>
        <v>7.0140242123084</v>
      </c>
      <c r="Y25" s="255" t="n">
        <f aca="false">CHOOSE($C$25,Y20,Y21,Y22,Y23)</f>
        <v>7.07393566912187</v>
      </c>
      <c r="Z25" s="255" t="n">
        <f aca="false">CHOOSE($C$25,Z20,Z21,Z22,Z23)</f>
        <v>7.13112919155307</v>
      </c>
      <c r="AA25" s="255" t="n">
        <f aca="false">CHOOSE($C$25,AA20,AA21,AA22,AA23)</f>
        <v>7.18538778322793</v>
      </c>
    </row>
    <row r="26" customFormat="false" ht="15.75" hidden="false" customHeight="false" outlineLevel="0" collapsed="false">
      <c r="A26" s="15"/>
      <c r="B26" s="3"/>
      <c r="C26" s="254"/>
      <c r="D26" s="254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7"/>
      <c r="AB26" s="258"/>
      <c r="AC26" s="258"/>
    </row>
    <row r="27" customFormat="false" ht="15.75" hidden="false" customHeight="false" outlineLevel="0" collapsed="false">
      <c r="A27" s="15"/>
      <c r="B27" s="15"/>
      <c r="C27" s="254"/>
      <c r="D27" s="254"/>
      <c r="E27" s="259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5.75" hidden="false" customHeight="false" outlineLevel="0" collapsed="false">
      <c r="A28" s="15"/>
      <c r="B28" s="15"/>
      <c r="C28" s="254"/>
      <c r="D28" s="254"/>
      <c r="E28" s="259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5.75" hidden="false" customHeight="false" outlineLevel="0" collapsed="false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customFormat="false" ht="15.75" hidden="false" customHeight="fals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15"/>
      <c r="C39" s="15"/>
      <c r="D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V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61" width="12.56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62" t="s">
        <v>240</v>
      </c>
      <c r="B4" s="263"/>
    </row>
    <row r="6" customFormat="false" ht="12.75" hidden="false" customHeight="false" outlineLevel="0" collapsed="false">
      <c r="D6" s="245" t="n">
        <f aca="false">'Power Price Assumption'!F9</f>
        <v>0.5</v>
      </c>
      <c r="E6" s="245" t="n">
        <f aca="false">'Power Price Assumption'!G9</f>
        <v>1.5</v>
      </c>
      <c r="F6" s="245" t="n">
        <f aca="false">'Power Price Assumption'!H9</f>
        <v>2.5</v>
      </c>
      <c r="G6" s="245" t="n">
        <f aca="false">'Power Price Assumption'!I9</f>
        <v>3.5</v>
      </c>
      <c r="H6" s="245" t="n">
        <f aca="false">'Power Price Assumption'!J9</f>
        <v>4.5</v>
      </c>
      <c r="I6" s="245" t="n">
        <f aca="false">'Power Price Assumption'!K9</f>
        <v>5.5</v>
      </c>
      <c r="J6" s="245" t="n">
        <f aca="false">'Power Price Assumption'!L9</f>
        <v>6.5</v>
      </c>
      <c r="K6" s="245" t="n">
        <f aca="false">'Power Price Assumption'!M9</f>
        <v>7.5</v>
      </c>
      <c r="L6" s="245" t="n">
        <f aca="false">'Power Price Assumption'!N9</f>
        <v>8.5</v>
      </c>
      <c r="M6" s="245" t="n">
        <f aca="false">'Power Price Assumption'!O9</f>
        <v>9.5</v>
      </c>
      <c r="N6" s="245" t="n">
        <f aca="false">'Power Price Assumption'!P9</f>
        <v>10.5</v>
      </c>
      <c r="O6" s="245" t="n">
        <f aca="false">'Power Price Assumption'!Q9</f>
        <v>11.5</v>
      </c>
      <c r="P6" s="245" t="n">
        <f aca="false">'Power Price Assumption'!R9</f>
        <v>12.5</v>
      </c>
      <c r="Q6" s="245" t="n">
        <f aca="false">'Power Price Assumption'!S9</f>
        <v>13.5</v>
      </c>
      <c r="R6" s="245" t="n">
        <f aca="false">'Power Price Assumption'!T9</f>
        <v>14.5</v>
      </c>
      <c r="S6" s="245" t="n">
        <f aca="false">'Power Price Assumption'!U9</f>
        <v>15.5</v>
      </c>
      <c r="T6" s="245" t="n">
        <f aca="false">'Power Price Assumption'!V9</f>
        <v>16.5</v>
      </c>
      <c r="U6" s="245" t="n">
        <f aca="false">'Power Price Assumption'!W9</f>
        <v>17.5</v>
      </c>
      <c r="V6" s="245" t="n">
        <f aca="false">'Power Price Assumption'!X9</f>
        <v>18.5</v>
      </c>
      <c r="W6" s="245" t="n">
        <f aca="false">'Power Price Assumption'!Y9</f>
        <v>19.5</v>
      </c>
      <c r="X6" s="245" t="n">
        <f aca="false">'Power Price Assumption'!Z9</f>
        <v>20.5</v>
      </c>
      <c r="Y6" s="245" t="n">
        <f aca="false">'Power Price Assumption'!AA9</f>
        <v>21.5</v>
      </c>
    </row>
    <row r="7" customFormat="false" ht="13.5" hidden="false" customHeight="false" outlineLevel="0" collapsed="false">
      <c r="A7" s="264" t="s">
        <v>241</v>
      </c>
      <c r="B7" s="265"/>
      <c r="C7" s="265"/>
      <c r="D7" s="265" t="n">
        <f aca="false">'Power Price Assumption'!F10</f>
        <v>2002</v>
      </c>
      <c r="E7" s="265" t="n">
        <f aca="false">'Power Price Assumption'!G10</f>
        <v>2003</v>
      </c>
      <c r="F7" s="265" t="n">
        <f aca="false">'Power Price Assumption'!H10</f>
        <v>2004</v>
      </c>
      <c r="G7" s="265" t="n">
        <f aca="false">'Power Price Assumption'!I10</f>
        <v>2005</v>
      </c>
      <c r="H7" s="265" t="n">
        <f aca="false">'Power Price Assumption'!J10</f>
        <v>2006</v>
      </c>
      <c r="I7" s="265" t="n">
        <f aca="false">'Power Price Assumption'!K10</f>
        <v>2007</v>
      </c>
      <c r="J7" s="265" t="n">
        <f aca="false">'Power Price Assumption'!L10</f>
        <v>2008</v>
      </c>
      <c r="K7" s="265" t="n">
        <f aca="false">'Power Price Assumption'!M10</f>
        <v>2009</v>
      </c>
      <c r="L7" s="265" t="n">
        <f aca="false">'Power Price Assumption'!N10</f>
        <v>2010</v>
      </c>
      <c r="M7" s="265" t="n">
        <f aca="false">'Power Price Assumption'!O10</f>
        <v>2011</v>
      </c>
      <c r="N7" s="265" t="n">
        <f aca="false">'Power Price Assumption'!P10</f>
        <v>2012</v>
      </c>
      <c r="O7" s="265" t="n">
        <f aca="false">'Power Price Assumption'!Q10</f>
        <v>2013</v>
      </c>
      <c r="P7" s="265" t="n">
        <f aca="false">'Power Price Assumption'!R10</f>
        <v>2014</v>
      </c>
      <c r="Q7" s="265" t="n">
        <f aca="false">'Power Price Assumption'!S10</f>
        <v>2015</v>
      </c>
      <c r="R7" s="265" t="n">
        <f aca="false">'Power Price Assumption'!T10</f>
        <v>2016</v>
      </c>
      <c r="S7" s="265" t="n">
        <f aca="false">'Power Price Assumption'!U10</f>
        <v>2017</v>
      </c>
      <c r="T7" s="265" t="n">
        <f aca="false">'Power Price Assumption'!V10</f>
        <v>2018</v>
      </c>
      <c r="U7" s="265" t="n">
        <f aca="false">'Power Price Assumption'!W10</f>
        <v>2019</v>
      </c>
      <c r="V7" s="265" t="n">
        <f aca="false">'Power Price Assumption'!X10</f>
        <v>2020</v>
      </c>
      <c r="W7" s="265" t="n">
        <f aca="false">'Power Price Assumption'!Y10</f>
        <v>2021</v>
      </c>
      <c r="X7" s="265" t="n">
        <f aca="false">'Power Price Assumption'!Z10</f>
        <v>2022</v>
      </c>
      <c r="Y7" s="265" t="n">
        <f aca="false">'Power Price Assumption'!AA10</f>
        <v>2023</v>
      </c>
      <c r="Z7" s="266"/>
      <c r="AA7" s="266"/>
    </row>
    <row r="8" customFormat="false" ht="12.75" hidden="false" customHeight="false" outlineLevel="0" collapsed="false">
      <c r="A8" s="267"/>
    </row>
    <row r="9" customFormat="false" ht="12.75" hidden="false" customHeight="false" outlineLevel="0" collapsed="false">
      <c r="A9" s="268" t="s">
        <v>242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70"/>
      <c r="AA9" s="270"/>
    </row>
    <row r="10" customFormat="false" ht="12.75" hidden="false" customHeight="false" outlineLevel="0" collapsed="false">
      <c r="A10" s="271" t="s">
        <v>243</v>
      </c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70"/>
      <c r="AA10" s="270"/>
    </row>
    <row r="11" customFormat="false" ht="12.75" hidden="false" customHeight="false" outlineLevel="0" collapsed="false">
      <c r="A11" s="272" t="s">
        <v>244</v>
      </c>
      <c r="D11" s="269" t="n">
        <f aca="false">IF(AND(C6&lt;Assumptions!$I$39,IS!D6&lt;Assumptions!$I$39),D6*12*Assumptions!$I$41*Assumptions!$I$45,IF(AND(IS!C6&lt;Assumptions!$I$39,IS!D6&gt;Assumptions!$I$39),(1-D6)*12*Assumptions!$I$41*Assumptions!$I$45,0))</f>
        <v>5409.6</v>
      </c>
      <c r="E11" s="269" t="n">
        <f aca="false">IF(AND(D6&lt;Assumptions!$I$39,IS!E6&lt;Assumptions!$I$39),12*Assumptions!$I$41*Assumptions!$I$45,IF(AND(IS!D6&lt;Assumptions!$I$39,IS!E6&gt;Assumptions!$I$39),(1-$D$6)*12*Assumptions!$I$41*Assumptions!$I$45,0))</f>
        <v>10819.2</v>
      </c>
      <c r="F11" s="269" t="n">
        <f aca="false">IF(AND(E6&lt;Assumptions!$I$39,IS!F6&lt;Assumptions!$I$39),12*Assumptions!$I$41*Assumptions!$I$45,IF(AND(IS!E6&lt;Assumptions!$I$39,IS!F6&gt;Assumptions!$I$39),(1-$D$6)*12*Assumptions!$I$41*Assumptions!$I$45,0))</f>
        <v>10819.2</v>
      </c>
      <c r="G11" s="269" t="n">
        <f aca="false">IF(AND(F6&lt;Assumptions!$I$39,IS!G6&lt;Assumptions!$I$39),12*Assumptions!$I$41*Assumptions!$I$45,IF(AND(IS!F6&lt;Assumptions!$I$39,IS!G6&gt;Assumptions!$I$39),(1-$D$6)*12*Assumptions!$I$41*Assumptions!$I$45,0))</f>
        <v>5409.6</v>
      </c>
      <c r="H11" s="269" t="n">
        <f aca="false">IF(AND(G6&lt;Assumptions!$I$39,IS!H6&lt;Assumptions!$I$39),12*Assumptions!$I$41*Assumptions!$I$45,IF(AND(IS!G6&lt;Assumptions!$I$39,IS!H6&gt;Assumptions!$I$39),(1-$D$6)*12*Assumptions!$I$41*Assumptions!$I$45,0))</f>
        <v>0</v>
      </c>
      <c r="I11" s="269" t="n">
        <f aca="false">IF(AND(H6&lt;Assumptions!$I$39,IS!I6&lt;Assumptions!$I$39),12*Assumptions!$I$41*Assumptions!$I$45,IF(AND(IS!H6&lt;Assumptions!$I$39,IS!I6&gt;Assumptions!$I$39),(1-$D$6)*12*Assumptions!$I$41*Assumptions!$I$45,0))</f>
        <v>0</v>
      </c>
      <c r="J11" s="269" t="n">
        <f aca="false">IF(AND(I6&lt;Assumptions!$I$39,IS!J6&lt;Assumptions!$I$39),12*Assumptions!$I$41*Assumptions!$I$45,IF(AND(IS!I6&lt;Assumptions!$I$39,IS!J6&gt;Assumptions!$I$39),(1-$D$6)*12*Assumptions!$I$41*Assumptions!$I$45,0))</f>
        <v>0</v>
      </c>
      <c r="K11" s="269" t="n">
        <f aca="false">IF(AND(J6&lt;Assumptions!$I$39,IS!K6&lt;Assumptions!$I$39),12*Assumptions!$I$41*Assumptions!$I$45,IF(AND(IS!J6&lt;Assumptions!$I$39,IS!K6&gt;Assumptions!$I$39),(1-$D$6)*12*Assumptions!$I$41*Assumptions!$I$45,0))</f>
        <v>0</v>
      </c>
      <c r="L11" s="269" t="n">
        <f aca="false">IF(AND(K6&lt;Assumptions!$I$39,IS!L6&lt;Assumptions!$I$39),12*Assumptions!$I$41*Assumptions!$I$45,IF(AND(IS!K6&lt;Assumptions!$I$39,IS!L6&gt;Assumptions!$I$39),(1-$D$6)*12*Assumptions!$I$41*Assumptions!$I$45,0))</f>
        <v>0</v>
      </c>
      <c r="M11" s="269" t="n">
        <f aca="false">IF(AND(L6&lt;Assumptions!$I$39,IS!M6&lt;Assumptions!$I$39),12*Assumptions!$I$41*Assumptions!$I$45,IF(AND(IS!L6&lt;Assumptions!$I$39,IS!M6&gt;Assumptions!$I$39),(1-$D$6)*12*Assumptions!$I$41*Assumptions!$I$45,0))</f>
        <v>0</v>
      </c>
      <c r="N11" s="269" t="n">
        <f aca="false">IF(AND(M6&lt;Assumptions!$I$39,IS!N6&lt;Assumptions!$I$39),12*Assumptions!$I$41*Assumptions!$I$45,IF(AND(IS!M6&lt;Assumptions!$I$39,IS!N6&gt;Assumptions!$I$39),(1-$D$6)*12*Assumptions!$I$41*Assumptions!$I$45,0))</f>
        <v>0</v>
      </c>
      <c r="O11" s="269" t="n">
        <f aca="false">IF(AND(N6&lt;Assumptions!$I$39,IS!O6&lt;Assumptions!$I$39),12*Assumptions!$I$41*Assumptions!$I$45,IF(AND(IS!N6&lt;Assumptions!$I$39,IS!O6&gt;Assumptions!$I$39),(1-$D$6)*12*Assumptions!$I$41*Assumptions!$I$45,0))</f>
        <v>0</v>
      </c>
      <c r="P11" s="269" t="n">
        <f aca="false">IF(AND(O6&lt;Assumptions!$I$39,IS!P6&lt;Assumptions!$I$39),12*Assumptions!$I$41*Assumptions!$I$45,IF(AND(IS!O6&lt;Assumptions!$I$39,IS!P6&gt;Assumptions!$I$39),(1-$D$6)*12*Assumptions!$I$41*Assumptions!$I$45,0))</f>
        <v>0</v>
      </c>
      <c r="Q11" s="269" t="n">
        <f aca="false">IF(AND(P6&lt;Assumptions!$I$39,IS!Q6&lt;Assumptions!$I$39),12*Assumptions!$I$41*Assumptions!$I$45,IF(AND(IS!P6&lt;Assumptions!$I$39,IS!Q6&gt;Assumptions!$I$39),(1-$D$6)*12*Assumptions!$I$41*Assumptions!$I$45,0))</f>
        <v>0</v>
      </c>
      <c r="R11" s="269" t="n">
        <f aca="false">IF(AND(Q6&lt;Assumptions!$I$39,IS!R6&lt;Assumptions!$I$39),12*Assumptions!$I$41*Assumptions!$I$45,IF(AND(IS!Q6&lt;Assumptions!$I$39,IS!R6&gt;Assumptions!$I$39),(1-$D$6)*12*Assumptions!$I$41*Assumptions!$I$45,0))</f>
        <v>0</v>
      </c>
      <c r="S11" s="269" t="n">
        <f aca="false">IF(AND(R6&lt;Assumptions!$I$39,IS!S6&lt;Assumptions!$I$39),12*Assumptions!$I$41*Assumptions!$I$45,IF(AND(IS!R6&lt;Assumptions!$I$39,IS!S6&gt;Assumptions!$I$39),(1-$D$6)*12*Assumptions!$I$41*Assumptions!$I$45,0))</f>
        <v>0</v>
      </c>
      <c r="T11" s="269" t="n">
        <f aca="false">IF(AND(S6&lt;Assumptions!$I$39,IS!T6&lt;Assumptions!$I$39),12*Assumptions!$I$41*Assumptions!$I$45,IF(AND(IS!S6&lt;Assumptions!$I$39,IS!T6&gt;Assumptions!$I$39),(1-$D$6)*12*Assumptions!$I$41*Assumptions!$I$45,0))</f>
        <v>0</v>
      </c>
      <c r="U11" s="269" t="n">
        <f aca="false">IF(AND(T6&lt;Assumptions!$I$39,IS!U6&lt;Assumptions!$I$39),12*Assumptions!$I$41*Assumptions!$I$45,IF(AND(IS!T6&lt;Assumptions!$I$39,IS!U6&gt;Assumptions!$I$39),(1-$D$6)*12*Assumptions!$I$41*Assumptions!$I$45,0))</f>
        <v>0</v>
      </c>
      <c r="V11" s="269" t="n">
        <f aca="false">IF(AND(U6&lt;Assumptions!$I$39,IS!V6&lt;Assumptions!$I$39),12*Assumptions!$I$41*Assumptions!$I$45,IF(AND(IS!U6&lt;Assumptions!$I$39,IS!V6&gt;Assumptions!$I$39),(1-$D$6)*12*Assumptions!$I$41*Assumptions!$I$45,0))</f>
        <v>0</v>
      </c>
      <c r="W11" s="269" t="n">
        <f aca="false">IF(AND(V6&lt;Assumptions!$I$39,IS!W6&lt;Assumptions!$I$39),12*Assumptions!$I$41*Assumptions!$I$45,IF(AND(IS!V6&lt;Assumptions!$I$39,IS!W6&gt;Assumptions!$I$39),(1-$D$6)*12*Assumptions!$I$41*Assumptions!$I$45,0))</f>
        <v>0</v>
      </c>
      <c r="X11" s="269" t="n">
        <f aca="false">IF(AND(W6&lt;Assumptions!$I$39,IS!X6&lt;Assumptions!$I$39),12*Assumptions!$I$41*Assumptions!$I$45,IF(AND(IS!W6&lt;Assumptions!$I$39,IS!X6&gt;Assumptions!$I$39),(1-$D$6)*12*Assumptions!$I$41*Assumptions!$I$45,0))</f>
        <v>0</v>
      </c>
      <c r="Y11" s="269" t="n">
        <f aca="false">IF(AND(X6&lt;Assumptions!$I$39,IS!Y6&lt;Assumptions!$I$39),12*Assumptions!$I$41*Assumptions!$I$45,IF(AND(IS!X6&lt;Assumptions!$I$39,IS!Y6&gt;Assumptions!$I$39),(1-$D$6)*12*Assumptions!$I$41*Assumptions!$I$45,0))</f>
        <v>0</v>
      </c>
      <c r="Z11" s="270"/>
      <c r="AA11" s="270"/>
    </row>
    <row r="12" customFormat="false" ht="12.75" hidden="false" customHeight="false" outlineLevel="0" collapsed="false">
      <c r="A12" s="272" t="s">
        <v>245</v>
      </c>
      <c r="D12" s="269" t="n">
        <f aca="false">IF(AND(D6&lt;Assumptions!$I$39,IS!C6&lt;Assumptions!$I$39),Assumptions!$J$70*Assumptions!$I$46/1000,IF(AND(IS!C6&lt;Assumptions!$I$39,IS!D6&gt;Assumptions!$I$39),Assumptions!$J$70*Assumptions!$I$46/1000*IS!$D$6,0))</f>
        <v>439.25952</v>
      </c>
      <c r="E12" s="269" t="n">
        <f aca="false">IF(AND(E6&lt;Assumptions!$I$39,IS!D6&lt;Assumptions!$I$39),D12*(1+Assumptions!$I$64),IF(AND(IS!D6&lt;Assumptions!$I$39,IS!E6&gt;Assumptions!$I$39),D12*IS!$D$6*(1+Assumptions!$I$64),0))</f>
        <v>452.4373056</v>
      </c>
      <c r="F12" s="269" t="n">
        <f aca="false">IF(AND(F6&lt;Assumptions!$I$39,IS!E6&lt;Assumptions!$I$39),E12*(1+Assumptions!$I$64),IF(AND(IS!E6&lt;Assumptions!$I$39,IS!F6&gt;Assumptions!$I$39),E12*IS!$D$6*(1+Assumptions!$I$64),0))</f>
        <v>466.010424768</v>
      </c>
      <c r="G12" s="269" t="n">
        <f aca="false">IF(AND(G6&lt;Assumptions!$I$39,IS!F6&lt;Assumptions!$I$39),F12*(1+Assumptions!$I$64),IF(AND(IS!F6&lt;Assumptions!$I$39,IS!G6&gt;Assumptions!$I$39),F12*IS!$D$6*(1+Assumptions!$I$64),0))</f>
        <v>239.99536875552</v>
      </c>
      <c r="H12" s="269" t="n">
        <f aca="false">IF(AND(H6&lt;Assumptions!$I$39,IS!G6&lt;Assumptions!$I$39),G12*(1+Assumptions!$I$64),IF(AND(IS!G6&lt;Assumptions!$I$39,IS!H6&gt;Assumptions!$I$39),G12*IS!$D$6*(1+Assumptions!$I$64),0))</f>
        <v>0</v>
      </c>
      <c r="I12" s="269" t="n">
        <f aca="false">IF(AND(I6&lt;Assumptions!$I$39,IS!H6&lt;Assumptions!$I$39),H12*(1+Assumptions!$I$64),IF(AND(IS!H6&lt;Assumptions!$I$39,IS!I6&gt;Assumptions!$I$39),H12*IS!$D$6*(1+Assumptions!$I$64),0))</f>
        <v>0</v>
      </c>
      <c r="J12" s="269" t="n">
        <f aca="false">IF(AND(J6&lt;Assumptions!$I$39,IS!I6&lt;Assumptions!$I$39),I12*(1+Assumptions!$I$64),IF(AND(IS!I6&lt;Assumptions!$I$39,IS!J6&gt;Assumptions!$I$39),I12*IS!$D$6*(1+Assumptions!$I$64),0))</f>
        <v>0</v>
      </c>
      <c r="K12" s="269" t="n">
        <f aca="false">IF(AND(K6&lt;Assumptions!$I$39,IS!J6&lt;Assumptions!$I$39),J12*(1+Assumptions!$I$64),IF(AND(IS!J6&lt;Assumptions!$I$39,IS!K6&gt;Assumptions!$I$39),J12*IS!$D$6*(1+Assumptions!$I$64),0))</f>
        <v>0</v>
      </c>
      <c r="L12" s="269" t="n">
        <f aca="false">IF(AND(L6&lt;Assumptions!$I$39,IS!K6&lt;Assumptions!$I$39),K12*(1+Assumptions!$I$64),IF(AND(IS!K6&lt;Assumptions!$I$39,IS!L6&gt;Assumptions!$I$39),K12*IS!$D$6*(1+Assumptions!$I$64),0))</f>
        <v>0</v>
      </c>
      <c r="M12" s="269" t="n">
        <f aca="false">IF(AND(M6&lt;Assumptions!$I$39,IS!L6&lt;Assumptions!$I$39),L12*(1+Assumptions!$I$64),IF(AND(IS!L6&lt;Assumptions!$I$39,IS!M6&gt;Assumptions!$I$39),L12*IS!$D$6*(1+Assumptions!$I$64),0))</f>
        <v>0</v>
      </c>
      <c r="N12" s="269" t="n">
        <f aca="false">IF(AND(N6&lt;Assumptions!$I$39,IS!M6&lt;Assumptions!$I$39),M12*(1+Assumptions!$I$64),IF(AND(IS!M6&lt;Assumptions!$I$39,IS!N6&gt;Assumptions!$I$39),M12*IS!$D$6*(1+Assumptions!$I$64),0))</f>
        <v>0</v>
      </c>
      <c r="O12" s="269" t="n">
        <f aca="false">IF(AND(O6&lt;Assumptions!$I$39,IS!N6&lt;Assumptions!$I$39),N12*(1+Assumptions!$I$64),IF(AND(IS!N6&lt;Assumptions!$I$39,IS!O6&gt;Assumptions!$I$39),N12*IS!$D$6*(1+Assumptions!$I$64),0))</f>
        <v>0</v>
      </c>
      <c r="P12" s="269" t="n">
        <f aca="false">IF(AND(P6&lt;Assumptions!$I$39,IS!O6&lt;Assumptions!$I$39),O12*(1+Assumptions!$I$64),IF(AND(IS!O6&lt;Assumptions!$I$39,IS!P6&gt;Assumptions!$I$39),O12*IS!$D$6*(1+Assumptions!$I$64),0))</f>
        <v>0</v>
      </c>
      <c r="Q12" s="269" t="n">
        <f aca="false">IF(AND(Q6&lt;Assumptions!$I$39,IS!P6&lt;Assumptions!$I$39),P12*(1+Assumptions!$I$64),IF(AND(IS!P6&lt;Assumptions!$I$39,IS!Q6&gt;Assumptions!$I$39),P12*IS!$D$6*(1+Assumptions!$I$64),0))</f>
        <v>0</v>
      </c>
      <c r="R12" s="269" t="n">
        <f aca="false">IF(AND(R6&lt;Assumptions!$I$39,IS!Q6&lt;Assumptions!$I$39),Q12*(1+Assumptions!$I$64),IF(AND(IS!Q6&lt;Assumptions!$I$39,IS!R6&gt;Assumptions!$I$39),Q12*IS!$D$6*(1+Assumptions!$I$64),0))</f>
        <v>0</v>
      </c>
      <c r="S12" s="269" t="n">
        <f aca="false">IF(AND(S6&lt;Assumptions!$I$39,IS!R6&lt;Assumptions!$I$39),R12*(1+Assumptions!$I$64),IF(AND(IS!R6&lt;Assumptions!$I$39,IS!S6&gt;Assumptions!$I$39),R12*IS!$D$6*(1+Assumptions!$I$64),0))</f>
        <v>0</v>
      </c>
      <c r="T12" s="269" t="n">
        <f aca="false">IF(AND(T6&lt;Assumptions!$I$39,IS!S6&lt;Assumptions!$I$39),S12*(1+Assumptions!$I$64),IF(AND(IS!S6&lt;Assumptions!$I$39,IS!T6&gt;Assumptions!$I$39),S12*IS!$D$6*(1+Assumptions!$I$64),0))</f>
        <v>0</v>
      </c>
      <c r="U12" s="269" t="n">
        <f aca="false">IF(AND(U6&lt;Assumptions!$I$39,IS!T6&lt;Assumptions!$I$39),T12*(1+Assumptions!$I$64),IF(AND(IS!T6&lt;Assumptions!$I$39,IS!U6&gt;Assumptions!$I$39),T12*IS!$D$6*(1+Assumptions!$I$64),0))</f>
        <v>0</v>
      </c>
      <c r="V12" s="269" t="n">
        <f aca="false">IF(AND(V6&lt;Assumptions!$I$39,IS!U6&lt;Assumptions!$I$39),U12*(1+Assumptions!$I$64),IF(AND(IS!U6&lt;Assumptions!$I$39,IS!V6&gt;Assumptions!$I$39),U12*IS!$D$6*(1+Assumptions!$I$64),0))</f>
        <v>0</v>
      </c>
      <c r="W12" s="269" t="n">
        <f aca="false">IF(AND(W6&lt;Assumptions!$I$39,IS!V6&lt;Assumptions!$I$39),V12*(1+Assumptions!$I$64),IF(AND(IS!V6&lt;Assumptions!$I$39,IS!W6&gt;Assumptions!$I$39),V12*IS!$D$6*(1+Assumptions!$I$64),0))</f>
        <v>0</v>
      </c>
      <c r="X12" s="269" t="n">
        <f aca="false">IF(AND(X6&lt;Assumptions!$I$39,IS!W6&lt;Assumptions!$I$39),W12*(1+Assumptions!$I$64),IF(AND(IS!W6&lt;Assumptions!$I$39,IS!X6&gt;Assumptions!$I$39),W12*IS!$D$6*(1+Assumptions!$I$64),0))</f>
        <v>0</v>
      </c>
      <c r="Y12" s="269" t="n">
        <f aca="false">IF(AND(Y6&lt;Assumptions!$I$39,IS!X6&lt;Assumptions!$I$39),X12*(1+Assumptions!$I$64),IF(AND(IS!X6&lt;Assumptions!$I$39,IS!Y6&gt;Assumptions!$I$39),X12*IS!$D$6*(1+Assumptions!$I$64),0))</f>
        <v>0</v>
      </c>
      <c r="Z12" s="270"/>
      <c r="AA12" s="270"/>
    </row>
    <row r="13" customFormat="false" ht="12.75" hidden="false" customHeight="false" outlineLevel="0" collapsed="false">
      <c r="A13" s="272" t="s">
        <v>246</v>
      </c>
      <c r="D13" s="269" t="n">
        <v>0</v>
      </c>
      <c r="E13" s="269" t="n">
        <v>0</v>
      </c>
      <c r="F13" s="269" t="n">
        <v>0</v>
      </c>
      <c r="G13" s="269" t="n">
        <v>0</v>
      </c>
      <c r="H13" s="269" t="n">
        <v>0</v>
      </c>
      <c r="I13" s="269" t="n">
        <v>0</v>
      </c>
      <c r="J13" s="269" t="n">
        <v>0</v>
      </c>
      <c r="K13" s="269" t="n">
        <v>0</v>
      </c>
      <c r="L13" s="269" t="n">
        <v>0</v>
      </c>
      <c r="M13" s="269" t="n">
        <v>0</v>
      </c>
      <c r="N13" s="269" t="n">
        <v>0</v>
      </c>
      <c r="O13" s="269" t="n">
        <v>0</v>
      </c>
      <c r="P13" s="269" t="n">
        <v>0</v>
      </c>
      <c r="Q13" s="269" t="n">
        <v>0</v>
      </c>
      <c r="R13" s="269" t="n">
        <v>0</v>
      </c>
      <c r="S13" s="269" t="n">
        <v>0</v>
      </c>
      <c r="T13" s="269" t="n">
        <v>0</v>
      </c>
      <c r="U13" s="269" t="n">
        <v>0</v>
      </c>
      <c r="V13" s="269" t="n">
        <v>0</v>
      </c>
      <c r="W13" s="269" t="n">
        <v>0</v>
      </c>
      <c r="X13" s="269" t="n">
        <v>0</v>
      </c>
      <c r="Y13" s="269" t="n">
        <v>0</v>
      </c>
      <c r="Z13" s="270"/>
      <c r="AA13" s="270"/>
    </row>
    <row r="14" customFormat="false" ht="12.75" hidden="false" customHeight="false" outlineLevel="0" collapsed="false">
      <c r="A14" s="272" t="s">
        <v>247</v>
      </c>
      <c r="D14" s="273" t="n">
        <v>0</v>
      </c>
      <c r="E14" s="273" t="n">
        <v>0</v>
      </c>
      <c r="F14" s="273" t="n">
        <v>0</v>
      </c>
      <c r="G14" s="273" t="n">
        <v>0</v>
      </c>
      <c r="H14" s="273" t="n">
        <v>0</v>
      </c>
      <c r="I14" s="273" t="n">
        <v>0</v>
      </c>
      <c r="J14" s="273" t="n">
        <v>0</v>
      </c>
      <c r="K14" s="273" t="n">
        <v>0</v>
      </c>
      <c r="L14" s="273" t="n">
        <v>0</v>
      </c>
      <c r="M14" s="273" t="n">
        <v>0</v>
      </c>
      <c r="N14" s="273" t="n">
        <v>0</v>
      </c>
      <c r="O14" s="273" t="n">
        <v>0</v>
      </c>
      <c r="P14" s="273" t="n">
        <v>0</v>
      </c>
      <c r="Q14" s="273" t="n">
        <v>0</v>
      </c>
      <c r="R14" s="273" t="n">
        <v>0</v>
      </c>
      <c r="S14" s="273" t="n">
        <v>0</v>
      </c>
      <c r="T14" s="273" t="n">
        <v>0</v>
      </c>
      <c r="U14" s="273" t="n">
        <v>0</v>
      </c>
      <c r="V14" s="273" t="n">
        <v>0</v>
      </c>
      <c r="W14" s="273" t="n">
        <v>0</v>
      </c>
      <c r="X14" s="273" t="n">
        <v>0</v>
      </c>
      <c r="Y14" s="273" t="n">
        <v>0</v>
      </c>
      <c r="Z14" s="270"/>
      <c r="AA14" s="270"/>
    </row>
    <row r="15" customFormat="false" ht="12.75" hidden="false" customHeight="false" outlineLevel="0" collapsed="false">
      <c r="A15" s="274"/>
      <c r="Z15" s="270"/>
      <c r="AA15" s="270"/>
    </row>
    <row r="16" customFormat="false" ht="12.75" hidden="false" customHeight="false" outlineLevel="0" collapsed="false">
      <c r="A16" s="271" t="s">
        <v>248</v>
      </c>
      <c r="Z16" s="270"/>
      <c r="AA16" s="270"/>
    </row>
    <row r="17" customFormat="false" ht="12.75" hidden="false" customHeight="false" outlineLevel="0" collapsed="false">
      <c r="A17" s="272" t="s">
        <v>244</v>
      </c>
      <c r="D17" s="269" t="n">
        <f aca="false">IF(AND(D6&gt;Assumptions!$I$39,IS!C6&gt;Assumptions!$I$39),12*'Power Price Assumption'!F25*Assumptions!$I$45,IF(AND(IS!C6&lt;Assumptions!$I$39,IS!D6&gt;Assumptions!$I$39),IS!D6*'Power Price Assumption'!F25*12*Assumptions!$I$55,0))</f>
        <v>0</v>
      </c>
      <c r="E17" s="269" t="n">
        <f aca="false">IF(AND(E6&gt;Assumptions!$I$39,IS!D6&gt;Assumptions!$I$39),12*'Power Price Assumption'!G25*Assumptions!$I$45,IF(AND(IS!D6&lt;Assumptions!$I$39,IS!E6&gt;Assumptions!$I$39),IS!E6*'Power Price Assumption'!G25*12*Assumptions!$I$55,0))</f>
        <v>0</v>
      </c>
      <c r="F17" s="269" t="n">
        <f aca="false">IF(AND(F6&gt;Assumptions!$I$39,IS!E6&gt;Assumptions!$I$39),12*'Power Price Assumption'!H25*Assumptions!$I$45,IF(AND(IS!E6&lt;Assumptions!$I$39,IS!F6&gt;Assumptions!$I$39),IS!F6*'Power Price Assumption'!H25*12*Assumptions!$I$55,0))</f>
        <v>0</v>
      </c>
      <c r="G17" s="269" t="n">
        <f aca="false">IF(AND(G6&gt;Assumptions!$I$39,IS!F6&gt;Assumptions!$I$39),12*'Power Price Assumption'!I25*Assumptions!$I$45,IF(AND(IS!F6&lt;Assumptions!$I$39,IS!G6&gt;Assumptions!$I$39),IS!D6*'Power Price Assumption'!I25*12*Assumptions!$I$55,0))</f>
        <v>16733.2613737897</v>
      </c>
      <c r="H17" s="269" t="n">
        <f aca="false">IF(AND(H6&gt;Assumptions!$I$39,IS!G6&gt;Assumptions!$I$39),12*'Power Price Assumption'!J25*Assumptions!$I$55,IF(AND(IS!G6&lt;Assumptions!$I$39,IS!H6&gt;Assumptions!$I$39),IS!$D$6*'Power Price Assumption'!J25*12*Assumptions!$I$55,0))</f>
        <v>33340.3374978753</v>
      </c>
      <c r="I17" s="269" t="n">
        <f aca="false">IF(AND(I6&gt;Assumptions!$I$39,IS!H6&gt;Assumptions!$I$39),12*'Power Price Assumption'!K25*Assumptions!$I$55,IF(AND(IS!H6&lt;Assumptions!$I$39,IS!I6&gt;Assumptions!$I$39),IS!$D$6*'Power Price Assumption'!K25*12*Assumptions!$I$55,0))</f>
        <v>33758.5044427639</v>
      </c>
      <c r="J17" s="269" t="n">
        <f aca="false">IF(AND(J6&gt;Assumptions!$I$39,IS!I6&gt;Assumptions!$I$39),12*'Power Price Assumption'!L25*Assumptions!$I$55,IF(AND(IS!I6&lt;Assumptions!$I$39,IS!J6&gt;Assumptions!$I$39),IS!$D$6*'Power Price Assumption'!L25*12*Assumptions!$I$55,0))</f>
        <v>34171.7551005978</v>
      </c>
      <c r="K17" s="269" t="n">
        <f aca="false">IF(AND(K6&gt;Assumptions!$I$39,IS!J6&gt;Assumptions!$I$39),12*'Power Price Assumption'!M25*Assumptions!$I$55,IF(AND(IS!J6&lt;Assumptions!$I$39,IS!K6&gt;Assumptions!$I$39),IS!$D$6*'Power Price Assumption'!M25*12*Assumptions!$I$55,0))</f>
        <v>34579.4181439031</v>
      </c>
      <c r="L17" s="269" t="n">
        <f aca="false">IF(AND(L6&gt;Assumptions!$I$39,IS!K6&gt;Assumptions!$I$39),12*'Power Price Assumption'!N25*Assumptions!$I$55,IF(AND(IS!K6&lt;Assumptions!$I$39,IS!L6&gt;Assumptions!$I$39),IS!$D$6*'Power Price Assumption'!N25*12*Assumptions!$I$55,0))</f>
        <v>35616.8006882202</v>
      </c>
      <c r="M17" s="269" t="n">
        <f aca="false">IF(AND(M6&gt;Assumptions!$I$39,IS!L6&gt;Assumptions!$I$39),12*'Power Price Assumption'!O25*Assumptions!$I$55,IF(AND(IS!L6&lt;Assumptions!$I$39,IS!M6&gt;Assumptions!$I$39),IS!$D$6*'Power Price Assumption'!O25*12*Assumptions!$I$55,0))</f>
        <v>36030.2099819228</v>
      </c>
      <c r="N17" s="269" t="n">
        <f aca="false">IF(AND(N6&gt;Assumptions!$I$39,IS!M6&gt;Assumptions!$I$39),12*'Power Price Assumption'!P25*Assumptions!$I$55,IF(AND(IS!M6&lt;Assumptions!$I$39,IS!N6&gt;Assumptions!$I$39),IS!$D$6*'Power Price Assumption'!P25*12*Assumptions!$I$55,0))</f>
        <v>37111.1162813805</v>
      </c>
      <c r="O17" s="269" t="n">
        <f aca="false">IF(AND(O6&gt;Assumptions!$I$39,IS!N6&gt;Assumptions!$I$39),12*'Power Price Assumption'!Q25*Assumptions!$I$55,IF(AND(IS!N6&lt;Assumptions!$I$39,IS!O6&gt;Assumptions!$I$39),IS!$D$6*'Power Price Assumption'!Q25*12*Assumptions!$I$55,0))</f>
        <v>37529.4597740069</v>
      </c>
      <c r="P17" s="269" t="n">
        <f aca="false">IF(AND(P6&gt;Assumptions!$I$39,IS!O6&gt;Assumptions!$I$39),12*'Power Price Assumption'!R25*Assumptions!$I$55,IF(AND(IS!O6&lt;Assumptions!$I$39,IS!P6&gt;Assumptions!$I$39),IS!$D$6*'Power Price Assumption'!R25*12*Assumptions!$I$55,0))</f>
        <v>38655.3435672272</v>
      </c>
      <c r="Q17" s="269" t="n">
        <f aca="false">IF(AND(Q6&gt;Assumptions!$I$39,IS!P6&gt;Assumptions!$I$39),12*'Power Price Assumption'!S25*Assumptions!$I$55,IF(AND(IS!P6&lt;Assumptions!$I$39,IS!Q6&gt;Assumptions!$I$39),IS!$D$6*'Power Price Assumption'!S25*12*Assumptions!$I$55,0))</f>
        <v>39077.6889876839</v>
      </c>
      <c r="R17" s="269" t="n">
        <f aca="false">IF(AND(R6&gt;Assumptions!$I$39,IS!Q6&gt;Assumptions!$I$39),12*'Power Price Assumption'!T25*Assumptions!$I$55,IF(AND(IS!Q6&lt;Assumptions!$I$39,IS!R6&gt;Assumptions!$I$39),IS!$D$6*'Power Price Assumption'!T25*12*Assumptions!$I$55,0))</f>
        <v>39490.5853241575</v>
      </c>
      <c r="S17" s="269" t="n">
        <f aca="false">IF(AND(S6&gt;Assumptions!$I$39,IS!R6&gt;Assumptions!$I$39),12*'Power Price Assumption'!U25*Assumptions!$I$55,IF(AND(IS!R6&lt;Assumptions!$I$39,IS!S6&gt;Assumptions!$I$39),IS!$D$6*'Power Price Assumption'!U25*12*Assumptions!$I$55,0))</f>
        <v>39893.0855207307</v>
      </c>
      <c r="T17" s="269" t="n">
        <f aca="false">IF(AND(T6&gt;Assumptions!$I$39,IS!S6&gt;Assumptions!$I$39),12*'Power Price Assumption'!V25*Assumptions!$I$55,IF(AND(IS!S6&lt;Assumptions!$I$39,IS!T6&gt;Assumptions!$I$39),IS!$D$6*'Power Price Assumption'!V25*12*Assumptions!$I$55,0))</f>
        <v>40284.1942023065</v>
      </c>
      <c r="U17" s="269" t="n">
        <f aca="false">IF(AND(U6&gt;Assumptions!$I$39,IS!T6&gt;Assumptions!$I$39),12*'Power Price Assumption'!W25*Assumptions!$I$55,IF(AND(IS!T6&lt;Assumptions!$I$39,IS!U6&gt;Assumptions!$I$39),IS!$D$6*'Power Price Assumption'!W25*12*Assumptions!$I$55,0))</f>
        <v>40662.8656278082</v>
      </c>
      <c r="V17" s="269" t="n">
        <f aca="false">IF(AND(V6&gt;Assumptions!$I$39,IS!U6&gt;Assumptions!$I$39),12*'Power Price Assumption'!X25*Assumptions!$I$55,IF(AND(IS!U6&lt;Assumptions!$I$39,IS!V6&gt;Assumptions!$I$39),IS!$D$6*'Power Price Assumption'!X25*12*Assumptions!$I$55,0))</f>
        <v>41028.0015640579</v>
      </c>
      <c r="W17" s="269" t="n">
        <f aca="false">IF(AND(W6&gt;Assumptions!$I$39,IS!V6&gt;Assumptions!$I$39),12*'Power Price Assumption'!Y25*Assumptions!$I$55,IF(AND(IS!V6&lt;Assumptions!$I$39,IS!W6&gt;Assumptions!$I$39),IS!$D$6*'Power Price Assumption'!Y25*12*Assumptions!$I$55,0))</f>
        <v>41378.4490774175</v>
      </c>
      <c r="X17" s="269" t="n">
        <f aca="false">IF(AND(X6&gt;Assumptions!$I$39,IS!W6&gt;Assumptions!$I$39),12*'Power Price Assumption'!Z25*Assumptions!$I$55,IF(AND(IS!W6&lt;Assumptions!$I$39,IS!X6&gt;Assumptions!$I$39),IS!$D$6*'Power Price Assumption'!Z25*12*Assumptions!$I$55,0))</f>
        <v>41712.9982401711</v>
      </c>
      <c r="Y17" s="269" t="n">
        <f aca="false">IF(AND(Y6&gt;Assumptions!$I$39,IS!X6&gt;Assumptions!$I$39),12*'Power Price Assumption'!AA25*Assumptions!$I$55,IF(AND(IS!X6&lt;Assumptions!$I$39,IS!Y6&gt;Assumptions!$I$39),IS!$D$6*'Power Price Assumption'!AA25*12*Assumptions!$I$55,0))</f>
        <v>42030.3797485202</v>
      </c>
      <c r="Z17" s="270"/>
      <c r="AA17" s="270"/>
    </row>
    <row r="18" customFormat="false" ht="12.75" hidden="false" customHeight="false" outlineLevel="0" collapsed="false">
      <c r="A18" s="272" t="s">
        <v>245</v>
      </c>
      <c r="B18" s="275"/>
      <c r="D18" s="269" t="n">
        <f aca="false">IF(AND(D6&gt;Assumptions!$I$39,IS!C6&gt;Assumptions!$I$39),Assumptions!$J$71*Assumptions!$I$56/1000,IF(AND(IS!C6&lt;Assumptions!$I$39,IS!D6&gt;Assumptions!$I$39),Assumptions!$J$71*Assumptions!$I$56/1000*IS!$D$6,0))</f>
        <v>0</v>
      </c>
      <c r="E18" s="269" t="n">
        <f aca="false">IF(AND(E6&gt;Assumptions!$I$39,IS!D6&gt;Assumptions!$I$39),Assumptions!$J$71*Assumptions!$I$56/1000*(1+Assumptions!$I$64)^(IS!E6-IS!$D$6),IF(AND(IS!D6&lt;Assumptions!$I$39,IS!E6&gt;Assumptions!$I$39),D12*(1+Assumptions!$I$64)-E12,0))</f>
        <v>0</v>
      </c>
      <c r="F18" s="269" t="n">
        <f aca="false">IF(AND(F6&gt;Assumptions!$I$39,IS!E6&gt;Assumptions!$I$39),Assumptions!$J$71*Assumptions!$I$56/1000*(1+Assumptions!$I$64)^(IS!F6-IS!$D$6),IF(AND(IS!E6&lt;Assumptions!$I$39,IS!F6&gt;Assumptions!$I$39),E12*(1+Assumptions!$I$64)-F12,0))</f>
        <v>0</v>
      </c>
      <c r="G18" s="269" t="n">
        <f aca="false">IF(AND(G6&gt;Assumptions!$I$39,IS!F6&gt;Assumptions!$I$39),Assumptions!$J$71*Assumptions!$I$56/1000*(1+Assumptions!$I$64)^(IS!G6-IS!$D$6),IF(AND(IS!F6&lt;Assumptions!$I$39,IS!G6&gt;Assumptions!$I$39),F12*(1+Assumptions!$I$64)-G12,0))</f>
        <v>239.99536875552</v>
      </c>
      <c r="H18" s="269" t="n">
        <f aca="false">IF(AND(H6&gt;Assumptions!$I$39,IS!G6&gt;Assumptions!$I$39),Assumptions!$J$71*Assumptions!$I$56/1000*(1+Assumptions!$I$64)^(IS!H6-IS!$D$6),IF(AND(IS!G6&lt;Assumptions!$I$39,IS!H6&gt;Assumptions!$I$39),Assumptions!$J$71*Assumptions!$I$56/1000*(1+Assumptions!$I$64)^(IS!H6-IS!$D$6)*(1-$D$6),0))</f>
        <v>1336.46638382136</v>
      </c>
      <c r="I18" s="269" t="n">
        <f aca="false">IF(AND(I6&gt;Assumptions!$I$39,IS!H6&gt;Assumptions!$I$39),Assumptions!$J$71*Assumptions!$I$56/1000*(1+Assumptions!$I$64)^(IS!I6-IS!$D$6),IF(AND(IS!H6&lt;Assumptions!$I$39,IS!I6&gt;Assumptions!$I$39),H12*(1+Assumptions!$I$64)-I12,0))</f>
        <v>1376.560375336</v>
      </c>
      <c r="J18" s="269" t="n">
        <f aca="false">IF(AND(J6&gt;Assumptions!$I$39,IS!I6&gt;Assumptions!$I$39),Assumptions!$J$71*Assumptions!$I$56/1000*(1+Assumptions!$I$64)^(IS!J6-IS!$D$6),IF(AND(IS!I6&lt;Assumptions!$I$39,IS!J6&gt;Assumptions!$I$39),I12*(1+Assumptions!$I$64)-J12,0))</f>
        <v>1417.85718659609</v>
      </c>
      <c r="K18" s="269" t="n">
        <f aca="false">IF(AND(K6&gt;Assumptions!$I$39,IS!J6&gt;Assumptions!$I$39),Assumptions!$J$71*Assumptions!$I$56/1000*(1+Assumptions!$I$64)^(IS!K6-IS!$D$6),IF(AND(IS!J6&lt;Assumptions!$I$39,IS!K6&gt;Assumptions!$I$39),J12*(1+Assumptions!$I$64)-K12,0))</f>
        <v>1460.39290219397</v>
      </c>
      <c r="L18" s="269" t="n">
        <f aca="false">IF(AND(L6&gt;Assumptions!$I$39,IS!K6&gt;Assumptions!$I$39),Assumptions!$J$71*Assumptions!$I$56/1000*(1+Assumptions!$I$64)^(IS!L6-IS!$D$6),IF(AND(IS!K6&lt;Assumptions!$I$39,IS!L6&gt;Assumptions!$I$39),K12*(1+Assumptions!$I$64)-L12,0))</f>
        <v>1504.20468925979</v>
      </c>
      <c r="M18" s="269" t="n">
        <f aca="false">IF(AND(M6&gt;Assumptions!$I$39,IS!L6&gt;Assumptions!$I$39),Assumptions!$J$71*Assumptions!$I$56/1000*(1+Assumptions!$I$64)^(IS!M6-IS!$D$6),IF(AND(IS!L6&lt;Assumptions!$I$39,IS!M6&gt;Assumptions!$I$39),L12*(1+Assumptions!$I$64)-M12,0))</f>
        <v>1549.33082993758</v>
      </c>
      <c r="N18" s="269" t="n">
        <f aca="false">IF(AND(N6&gt;Assumptions!$I$39,IS!M6&gt;Assumptions!$I$39),Assumptions!$J$71*Assumptions!$I$56/1000*(1+Assumptions!$I$64)^(IS!N6-IS!$D$6),IF(AND(IS!M6&lt;Assumptions!$I$39,IS!N6&gt;Assumptions!$I$39),M12*(1+Assumptions!$I$64)-N12,0))</f>
        <v>1595.81075483571</v>
      </c>
      <c r="O18" s="269" t="n">
        <f aca="false">IF(AND(O6&gt;Assumptions!$I$39,IS!N6&gt;Assumptions!$I$39),Assumptions!$J$71*Assumptions!$I$56/1000*(1+Assumptions!$I$64)^(IS!O6-IS!$D$6),IF(AND(IS!N6&lt;Assumptions!$I$39,IS!O6&gt;Assumptions!$I$39),N12*(1+Assumptions!$I$64)-O12,0))</f>
        <v>1643.68507748078</v>
      </c>
      <c r="P18" s="269" t="n">
        <f aca="false">IF(AND(P6&gt;Assumptions!$I$39,IS!O6&gt;Assumptions!$I$39),Assumptions!$J$71*Assumptions!$I$56/1000*(1+Assumptions!$I$64)^(IS!P6-IS!$D$6),IF(AND(IS!O6&lt;Assumptions!$I$39,IS!P6&gt;Assumptions!$I$39),O12*(1+Assumptions!$I$64)-P12,0))</f>
        <v>1692.9956298052</v>
      </c>
      <c r="Q18" s="269" t="n">
        <f aca="false">IF(AND(Q6&gt;Assumptions!$I$39,IS!P6&gt;Assumptions!$I$39),Assumptions!$J$71*Assumptions!$I$56/1000*(1+Assumptions!$I$64)^(IS!Q6-IS!$D$6),IF(AND(IS!P6&lt;Assumptions!$I$39,IS!Q6&gt;Assumptions!$I$39),P12*(1+Assumptions!$I$64)-Q12,0))</f>
        <v>1743.78549869936</v>
      </c>
      <c r="R18" s="269" t="n">
        <f aca="false">IF(AND(R6&gt;Assumptions!$I$39,IS!Q6&gt;Assumptions!$I$39),Assumptions!$J$71*Assumptions!$I$56/1000*(1+Assumptions!$I$64)^(IS!R6-IS!$D$6),IF(AND(IS!Q6&lt;Assumptions!$I$39,IS!R6&gt;Assumptions!$I$39),Q12*(1+Assumptions!$I$64)-R12,0))</f>
        <v>1796.09906366034</v>
      </c>
      <c r="S18" s="269" t="n">
        <f aca="false">IF(AND(S6&gt;Assumptions!$I$39,IS!R6&gt;Assumptions!$I$39),Assumptions!$J$71*Assumptions!$I$56/1000*(1+Assumptions!$I$64)^(IS!S6-IS!$D$6),IF(AND(IS!R6&lt;Assumptions!$I$39,IS!S6&gt;Assumptions!$I$39),R12*(1+Assumptions!$I$64)-S12,0))</f>
        <v>1849.98203557015</v>
      </c>
      <c r="T18" s="269" t="n">
        <f aca="false">IF(AND(T6&gt;Assumptions!$I$39,IS!S6&gt;Assumptions!$I$39),Assumptions!$J$71*Assumptions!$I$56/1000*(1+Assumptions!$I$64)^(IS!T6-IS!$D$6),IF(AND(IS!S6&lt;Assumptions!$I$39,IS!T6&gt;Assumptions!$I$39),S12*(1+Assumptions!$I$64)-T12,0))</f>
        <v>1905.48149663725</v>
      </c>
      <c r="U18" s="269" t="n">
        <f aca="false">IF(AND(U6&gt;Assumptions!$I$39,IS!T6&gt;Assumptions!$I$39),Assumptions!$J$71*Assumptions!$I$56/1000*(1+Assumptions!$I$64)^(IS!U6-IS!$D$6),IF(AND(IS!T6&lt;Assumptions!$I$39,IS!U6&gt;Assumptions!$I$39),T12*(1+Assumptions!$I$64)-U12,0))</f>
        <v>1962.64594153637</v>
      </c>
      <c r="V18" s="269" t="n">
        <f aca="false">IF(AND(V6&gt;Assumptions!$I$39,IS!U6&gt;Assumptions!$I$39),Assumptions!$J$71*Assumptions!$I$56/1000*(1+Assumptions!$I$64)^(IS!V6-IS!$D$6),IF(AND(IS!U6&lt;Assumptions!$I$39,IS!V6&gt;Assumptions!$I$39),U12*(1+Assumptions!$I$64)-V12,0))</f>
        <v>2021.52531978246</v>
      </c>
      <c r="W18" s="269" t="n">
        <f aca="false">IF(AND(W6&gt;Assumptions!$I$39,IS!V6&gt;Assumptions!$I$39),Assumptions!$J$71*Assumptions!$I$56/1000*(1+Assumptions!$I$64)^(IS!W6-IS!$D$6),IF(AND(IS!V6&lt;Assumptions!$I$39,IS!W6&gt;Assumptions!$I$39),V12*(1+Assumptions!$I$64)-W12,0))</f>
        <v>2082.17107937594</v>
      </c>
      <c r="X18" s="269" t="n">
        <f aca="false">IF(AND(X6&gt;Assumptions!$I$39,IS!W6&gt;Assumptions!$I$39),Assumptions!$J$71*Assumptions!$I$56/1000*(1+Assumptions!$I$64)^(IS!X6-IS!$D$6),IF(AND(IS!W6&lt;Assumptions!$I$39,IS!X6&gt;Assumptions!$I$39),W12*(1+Assumptions!$I$64)-X12,0))</f>
        <v>2144.63621175722</v>
      </c>
      <c r="Y18" s="269" t="n">
        <f aca="false">IF(AND(Y6&gt;Assumptions!$I$39,IS!X6&gt;Assumptions!$I$39),Assumptions!$J$71*Assumptions!$I$56/1000*(1+Assumptions!$I$64)^(IS!Y6-IS!$D$6),IF(AND(IS!X6&lt;Assumptions!$I$39,IS!Y6&gt;Assumptions!$I$39),X12*(1+Assumptions!$I$64)-Y12,0))</f>
        <v>2208.97529810993</v>
      </c>
      <c r="Z18" s="270"/>
      <c r="AA18" s="270"/>
    </row>
    <row r="19" customFormat="false" ht="12.75" hidden="false" customHeight="false" outlineLevel="0" collapsed="false">
      <c r="A19" s="272" t="s">
        <v>246</v>
      </c>
      <c r="D19" s="269" t="n">
        <v>0</v>
      </c>
      <c r="E19" s="269" t="n">
        <v>0</v>
      </c>
      <c r="F19" s="269" t="n">
        <v>0</v>
      </c>
      <c r="G19" s="269" t="n">
        <v>0</v>
      </c>
      <c r="H19" s="269" t="n">
        <v>0</v>
      </c>
      <c r="I19" s="269" t="n">
        <v>0</v>
      </c>
      <c r="J19" s="269" t="n">
        <v>0</v>
      </c>
      <c r="K19" s="269" t="n">
        <v>0</v>
      </c>
      <c r="L19" s="269" t="n">
        <v>0</v>
      </c>
      <c r="M19" s="269" t="n">
        <v>0</v>
      </c>
      <c r="N19" s="269" t="n">
        <v>0</v>
      </c>
      <c r="O19" s="269" t="n">
        <v>0</v>
      </c>
      <c r="P19" s="269" t="n">
        <v>0</v>
      </c>
      <c r="Q19" s="269" t="n">
        <v>0</v>
      </c>
      <c r="R19" s="269" t="n">
        <v>0</v>
      </c>
      <c r="S19" s="269" t="n">
        <v>0</v>
      </c>
      <c r="T19" s="269" t="n">
        <v>0</v>
      </c>
      <c r="U19" s="269" t="n">
        <v>0</v>
      </c>
      <c r="V19" s="269" t="n">
        <v>0</v>
      </c>
      <c r="W19" s="269" t="n">
        <v>0</v>
      </c>
      <c r="X19" s="269" t="n">
        <v>0</v>
      </c>
      <c r="Y19" s="269" t="n">
        <v>0</v>
      </c>
      <c r="Z19" s="270"/>
      <c r="AA19" s="270"/>
    </row>
    <row r="20" customFormat="false" ht="12.75" hidden="false" customHeight="false" outlineLevel="0" collapsed="false">
      <c r="A20" s="272" t="s">
        <v>247</v>
      </c>
      <c r="D20" s="273" t="n">
        <v>0</v>
      </c>
      <c r="E20" s="273" t="n">
        <v>0</v>
      </c>
      <c r="F20" s="273" t="n">
        <v>0</v>
      </c>
      <c r="G20" s="273" t="n">
        <v>0</v>
      </c>
      <c r="H20" s="273" t="n">
        <v>0</v>
      </c>
      <c r="I20" s="273" t="n">
        <v>0</v>
      </c>
      <c r="J20" s="273" t="n">
        <v>0</v>
      </c>
      <c r="K20" s="273" t="n">
        <v>0</v>
      </c>
      <c r="L20" s="273" t="n">
        <v>0</v>
      </c>
      <c r="M20" s="273" t="n">
        <v>0</v>
      </c>
      <c r="N20" s="273" t="n">
        <v>0</v>
      </c>
      <c r="O20" s="273" t="n">
        <v>0</v>
      </c>
      <c r="P20" s="273" t="n">
        <v>0</v>
      </c>
      <c r="Q20" s="273" t="n">
        <v>0</v>
      </c>
      <c r="R20" s="273" t="n">
        <v>0</v>
      </c>
      <c r="S20" s="273" t="n">
        <v>0</v>
      </c>
      <c r="T20" s="273" t="n">
        <v>0</v>
      </c>
      <c r="U20" s="273" t="n">
        <v>0</v>
      </c>
      <c r="V20" s="273" t="n">
        <v>0</v>
      </c>
      <c r="W20" s="273" t="n">
        <v>0</v>
      </c>
      <c r="X20" s="273" t="n">
        <v>0</v>
      </c>
      <c r="Y20" s="273" t="n">
        <v>0</v>
      </c>
      <c r="Z20" s="270"/>
      <c r="AA20" s="270"/>
    </row>
    <row r="21" customFormat="false" ht="12.75" hidden="false" customHeight="false" outlineLevel="0" collapsed="false">
      <c r="Z21" s="270"/>
      <c r="AA21" s="270"/>
    </row>
    <row r="22" customFormat="false" ht="12.75" hidden="false" customHeight="false" outlineLevel="0" collapsed="false">
      <c r="A22" s="272" t="s">
        <v>249</v>
      </c>
      <c r="D22" s="269" t="n">
        <f aca="false">IF(AND(D6&gt;Assumptions!$I$39,IS!C6&gt;Assumptions!$I$39),Assumptions!$I$57*Assumptions!$I$14*Assumptions!$I$53*Assumptions!$I$55/1000,IF(AND(D6&gt;Assumptions!$I$39,IS!C6&lt;Assumptions!$I$39),Assumptions!$I$57*Assumptions!$I$14*Assumptions!$I$53*Assumptions!$I$55/1000*$D$6,0))</f>
        <v>0</v>
      </c>
      <c r="E22" s="269" t="n">
        <f aca="false">IF(AND(E6&gt;Assumptions!$I$39,IS!D6&gt;Assumptions!$I$39),Assumptions!$I$57*Assumptions!$I$14*Assumptions!$I$53*Assumptions!$I$55/1000,IF(AND(E6&gt;Assumptions!$I$39,IS!D6&lt;Assumptions!$I$39),Assumptions!$I$57*Assumptions!$I$14*Assumptions!$I$53*Assumptions!$I$55/1000*$D$6,0))</f>
        <v>0</v>
      </c>
      <c r="F22" s="269" t="n">
        <f aca="false">IF(AND(F6&gt;Assumptions!$I$39,IS!E6&gt;Assumptions!$I$39),Assumptions!$I$57*Assumptions!$I$14*Assumptions!$I$53*Assumptions!$I$55/1000,IF(AND(F6&gt;Assumptions!$I$39,IS!E6&lt;Assumptions!$I$39),Assumptions!$I$57*Assumptions!$I$14*Assumptions!$I$53*Assumptions!$I$55/1000*$D$6,0))</f>
        <v>0</v>
      </c>
      <c r="G22" s="269" t="n">
        <f aca="false">IF(AND(G6&gt;Assumptions!$I$39,IS!F6&gt;Assumptions!$I$39),Assumptions!$I$57*Assumptions!$I$14*Assumptions!$I$53*Assumptions!$I$55/1000,IF(AND(G6&gt;Assumptions!$I$39,IS!F6&lt;Assumptions!$I$39),Assumptions!$I$57*Assumptions!$I$14*Assumptions!$I$53*Assumptions!$I$55/1000*$D$6,0))</f>
        <v>5.849424</v>
      </c>
      <c r="H22" s="269" t="n">
        <f aca="false">IF(AND(H6&gt;Assumptions!$I$39,IS!G6&gt;Assumptions!$I$39),Assumptions!$I$57*Assumptions!$I$14*Assumptions!$I$53*Assumptions!$I$55/1000,IF(AND(H6&gt;Assumptions!$I$39,IS!G6&lt;Assumptions!$I$39),Assumptions!$I$57*Assumptions!$I$14*Assumptions!$I$53*Assumptions!$I$55/1000*$D$6,0))</f>
        <v>11.698848</v>
      </c>
      <c r="I22" s="269" t="n">
        <f aca="false">IF(AND(I6&gt;Assumptions!$I$39,IS!H6&gt;Assumptions!$I$39),Assumptions!$I$57*Assumptions!$I$14*Assumptions!$I$53*Assumptions!$I$55/1000,IF(AND(I6&gt;Assumptions!$I$39,IS!H6&lt;Assumptions!$I$39),Assumptions!$I$57*Assumptions!$I$14*Assumptions!$I$53*Assumptions!$I$55/1000*$D$6,0))</f>
        <v>11.698848</v>
      </c>
      <c r="J22" s="269" t="n">
        <f aca="false">IF(AND(J6&gt;Assumptions!$I$39,IS!I6&gt;Assumptions!$I$39),Assumptions!$I$57*Assumptions!$I$14*Assumptions!$I$53*Assumptions!$I$55/1000,IF(AND(J6&gt;Assumptions!$I$39,IS!I6&lt;Assumptions!$I$39),Assumptions!$I$57*Assumptions!$I$14*Assumptions!$I$53*Assumptions!$I$55/1000*$D$6,0))</f>
        <v>11.698848</v>
      </c>
      <c r="K22" s="269" t="n">
        <f aca="false">IF(AND(K6&gt;Assumptions!$I$39,IS!J6&gt;Assumptions!$I$39),Assumptions!$I$57*Assumptions!$I$14*Assumptions!$I$53*Assumptions!$I$55/1000,IF(AND(K6&gt;Assumptions!$I$39,IS!J6&lt;Assumptions!$I$39),Assumptions!$I$57*Assumptions!$I$14*Assumptions!$I$53*Assumptions!$I$55/1000*$D$6,0))</f>
        <v>11.698848</v>
      </c>
      <c r="L22" s="269" t="n">
        <f aca="false">IF(AND(L6&gt;Assumptions!$I$39,IS!K6&gt;Assumptions!$I$39),Assumptions!$I$57*Assumptions!$I$14*Assumptions!$I$53*Assumptions!$I$55/1000,IF(AND(L6&gt;Assumptions!$I$39,IS!K6&lt;Assumptions!$I$39),Assumptions!$I$57*Assumptions!$I$14*Assumptions!$I$53*Assumptions!$I$55/1000*$D$6,0))</f>
        <v>11.698848</v>
      </c>
      <c r="M22" s="269" t="n">
        <f aca="false">IF(AND(M6&gt;Assumptions!$I$39,IS!L6&gt;Assumptions!$I$39),Assumptions!$I$57*Assumptions!$I$14*Assumptions!$I$53*Assumptions!$I$55/1000,IF(AND(M6&gt;Assumptions!$I$39,IS!L6&lt;Assumptions!$I$39),Assumptions!$I$57*Assumptions!$I$14*Assumptions!$I$53*Assumptions!$I$55/1000*$D$6,0))</f>
        <v>11.698848</v>
      </c>
      <c r="N22" s="269" t="n">
        <f aca="false">IF(AND(N6&gt;Assumptions!$I$39,IS!M6&gt;Assumptions!$I$39),Assumptions!$I$57*Assumptions!$I$14*Assumptions!$I$53*Assumptions!$I$55/1000,IF(AND(N6&gt;Assumptions!$I$39,IS!M6&lt;Assumptions!$I$39),Assumptions!$I$57*Assumptions!$I$14*Assumptions!$I$53*Assumptions!$I$55/1000*$D$6,0))</f>
        <v>11.698848</v>
      </c>
      <c r="O22" s="269" t="n">
        <f aca="false">IF(AND(O6&gt;Assumptions!$I$39,IS!N6&gt;Assumptions!$I$39),Assumptions!$I$57*Assumptions!$I$14*Assumptions!$I$53*Assumptions!$I$55/1000,IF(AND(O6&gt;Assumptions!$I$39,IS!N6&lt;Assumptions!$I$39),Assumptions!$I$57*Assumptions!$I$14*Assumptions!$I$53*Assumptions!$I$55/1000*$D$6,0))</f>
        <v>11.698848</v>
      </c>
      <c r="P22" s="269" t="n">
        <f aca="false">IF(AND(P6&gt;Assumptions!$I$39,IS!O6&gt;Assumptions!$I$39),Assumptions!$I$57*Assumptions!$I$14*Assumptions!$I$53*Assumptions!$I$55/1000,IF(AND(P6&gt;Assumptions!$I$39,IS!O6&lt;Assumptions!$I$39),Assumptions!$I$57*Assumptions!$I$14*Assumptions!$I$53*Assumptions!$I$55/1000*$D$6,0))</f>
        <v>11.698848</v>
      </c>
      <c r="Q22" s="269" t="n">
        <f aca="false">IF(AND(Q6&gt;Assumptions!$I$39,IS!P6&gt;Assumptions!$I$39),Assumptions!$I$57*Assumptions!$I$14*Assumptions!$I$53*Assumptions!$I$55/1000,IF(AND(Q6&gt;Assumptions!$I$39,IS!P6&lt;Assumptions!$I$39),Assumptions!$I$57*Assumptions!$I$14*Assumptions!$I$53*Assumptions!$I$55/1000*$D$6,0))</f>
        <v>11.698848</v>
      </c>
      <c r="R22" s="269" t="n">
        <f aca="false">IF(AND(R6&gt;Assumptions!$I$39,IS!Q6&gt;Assumptions!$I$39),Assumptions!$I$57*Assumptions!$I$14*Assumptions!$I$53*Assumptions!$I$55/1000,IF(AND(R6&gt;Assumptions!$I$39,IS!Q6&lt;Assumptions!$I$39),Assumptions!$I$57*Assumptions!$I$14*Assumptions!$I$53*Assumptions!$I$55/1000*$D$6,0))</f>
        <v>11.698848</v>
      </c>
      <c r="S22" s="269" t="n">
        <f aca="false">IF(AND(S6&gt;Assumptions!$I$39,IS!R6&gt;Assumptions!$I$39),Assumptions!$I$57*Assumptions!$I$14*Assumptions!$I$53*Assumptions!$I$55/1000,IF(AND(S6&gt;Assumptions!$I$39,IS!R6&lt;Assumptions!$I$39),Assumptions!$I$57*Assumptions!$I$14*Assumptions!$I$53*Assumptions!$I$55/1000*$D$6,0))</f>
        <v>11.698848</v>
      </c>
      <c r="T22" s="269" t="n">
        <f aca="false">IF(AND(T6&gt;Assumptions!$I$39,IS!S6&gt;Assumptions!$I$39),Assumptions!$I$57*Assumptions!$I$14*Assumptions!$I$53*Assumptions!$I$55/1000,IF(AND(T6&gt;Assumptions!$I$39,IS!S6&lt;Assumptions!$I$39),Assumptions!$I$57*Assumptions!$I$14*Assumptions!$I$53*Assumptions!$I$55/1000*$D$6,0))</f>
        <v>11.698848</v>
      </c>
      <c r="U22" s="269" t="n">
        <f aca="false">IF(AND(U6&gt;Assumptions!$I$39,IS!T6&gt;Assumptions!$I$39),Assumptions!$I$57*Assumptions!$I$14*Assumptions!$I$53*Assumptions!$I$55/1000,IF(AND(U6&gt;Assumptions!$I$39,IS!T6&lt;Assumptions!$I$39),Assumptions!$I$57*Assumptions!$I$14*Assumptions!$I$53*Assumptions!$I$55/1000*$D$6,0))</f>
        <v>11.698848</v>
      </c>
      <c r="V22" s="269" t="n">
        <f aca="false">IF(AND(V6&gt;Assumptions!$I$39,IS!U6&gt;Assumptions!$I$39),Assumptions!$I$57*Assumptions!$I$14*Assumptions!$I$53*Assumptions!$I$55/1000,IF(AND(V6&gt;Assumptions!$I$39,IS!U6&lt;Assumptions!$I$39),Assumptions!$I$57*Assumptions!$I$14*Assumptions!$I$53*Assumptions!$I$55/1000*$D$6,0))</f>
        <v>11.698848</v>
      </c>
      <c r="W22" s="269" t="n">
        <f aca="false">IF(AND(W6&gt;Assumptions!$I$39,IS!V6&gt;Assumptions!$I$39),Assumptions!$I$57*Assumptions!$I$14*Assumptions!$I$53*Assumptions!$I$55/1000,IF(AND(W6&gt;Assumptions!$I$39,IS!V6&lt;Assumptions!$I$39),Assumptions!$I$57*Assumptions!$I$14*Assumptions!$I$53*Assumptions!$I$55/1000*$D$6,0))</f>
        <v>11.698848</v>
      </c>
      <c r="X22" s="269" t="n">
        <f aca="false">IF(AND(X6&gt;Assumptions!$I$39,IS!W6&gt;Assumptions!$I$39),Assumptions!$I$57*Assumptions!$I$14*Assumptions!$I$53*Assumptions!$I$55/1000,IF(AND(X6&gt;Assumptions!$I$39,IS!W6&lt;Assumptions!$I$39),Assumptions!$I$57*Assumptions!$I$14*Assumptions!$I$53*Assumptions!$I$55/1000*$D$6,0))</f>
        <v>11.698848</v>
      </c>
      <c r="Y22" s="269" t="n">
        <f aca="false">IF(AND(Y6&gt;Assumptions!$I$39,IS!X6&gt;Assumptions!$I$39),Assumptions!$I$57*Assumptions!$I$14*Assumptions!$I$53*Assumptions!$I$55/1000,IF(AND(Y6&gt;Assumptions!$I$39,IS!X6&lt;Assumptions!$I$39),Assumptions!$I$57*Assumptions!$I$14*Assumptions!$I$53*Assumptions!$I$55/1000*$D$6,0))</f>
        <v>11.698848</v>
      </c>
      <c r="Z22" s="270"/>
      <c r="AA22" s="270"/>
    </row>
    <row r="23" customFormat="false" ht="12.75" hidden="false" customHeight="false" outlineLevel="0" collapsed="false">
      <c r="A23" s="276" t="s">
        <v>250</v>
      </c>
      <c r="D23" s="273" t="n">
        <v>0</v>
      </c>
      <c r="E23" s="273" t="n">
        <v>0</v>
      </c>
      <c r="F23" s="273" t="n">
        <v>0</v>
      </c>
      <c r="G23" s="273" t="n">
        <v>0</v>
      </c>
      <c r="H23" s="273" t="n">
        <v>0</v>
      </c>
      <c r="I23" s="273" t="n">
        <v>0</v>
      </c>
      <c r="J23" s="273" t="n">
        <v>0</v>
      </c>
      <c r="K23" s="273" t="n">
        <v>0</v>
      </c>
      <c r="L23" s="273" t="n">
        <v>0</v>
      </c>
      <c r="M23" s="273" t="n">
        <v>0</v>
      </c>
      <c r="N23" s="273" t="n">
        <v>0</v>
      </c>
      <c r="O23" s="273" t="n">
        <v>0</v>
      </c>
      <c r="P23" s="273" t="n">
        <v>0</v>
      </c>
      <c r="Q23" s="273" t="n">
        <v>0</v>
      </c>
      <c r="R23" s="273" t="n">
        <v>0</v>
      </c>
      <c r="S23" s="273" t="n">
        <v>0</v>
      </c>
      <c r="T23" s="273" t="n">
        <v>0</v>
      </c>
      <c r="U23" s="273" t="n">
        <v>0</v>
      </c>
      <c r="V23" s="273" t="n">
        <v>0</v>
      </c>
      <c r="W23" s="273" t="n">
        <v>0</v>
      </c>
      <c r="X23" s="273" t="n">
        <v>0</v>
      </c>
      <c r="Y23" s="273" t="n">
        <v>0</v>
      </c>
      <c r="Z23" s="270"/>
      <c r="AA23" s="270"/>
    </row>
    <row r="24" customFormat="false" ht="12.75" hidden="false" customHeight="false" outlineLevel="0" collapsed="false">
      <c r="A24" s="276" t="s">
        <v>251</v>
      </c>
      <c r="D24" s="277" t="n">
        <v>0</v>
      </c>
      <c r="E24" s="277" t="n">
        <v>0</v>
      </c>
      <c r="F24" s="277" t="n">
        <v>0</v>
      </c>
      <c r="G24" s="277" t="n">
        <v>0</v>
      </c>
      <c r="H24" s="277" t="n">
        <v>0</v>
      </c>
      <c r="I24" s="277" t="n">
        <v>0</v>
      </c>
      <c r="J24" s="277" t="n">
        <v>0</v>
      </c>
      <c r="K24" s="277" t="n">
        <v>0</v>
      </c>
      <c r="L24" s="277" t="n">
        <v>0</v>
      </c>
      <c r="M24" s="277" t="n">
        <v>0</v>
      </c>
      <c r="N24" s="277" t="n">
        <v>0</v>
      </c>
      <c r="O24" s="277" t="n">
        <v>0</v>
      </c>
      <c r="P24" s="277" t="n">
        <v>0</v>
      </c>
      <c r="Q24" s="277" t="n">
        <v>0</v>
      </c>
      <c r="R24" s="277" t="n">
        <v>0</v>
      </c>
      <c r="S24" s="277" t="n">
        <v>0</v>
      </c>
      <c r="T24" s="277" t="n">
        <v>0</v>
      </c>
      <c r="U24" s="277" t="n">
        <v>0</v>
      </c>
      <c r="V24" s="277" t="n">
        <v>0</v>
      </c>
      <c r="W24" s="277" t="n">
        <v>0</v>
      </c>
      <c r="X24" s="277" t="n">
        <v>0</v>
      </c>
      <c r="Y24" s="277" t="n">
        <v>0</v>
      </c>
      <c r="Z24" s="270"/>
      <c r="AA24" s="270"/>
    </row>
    <row r="25" customFormat="false" ht="12.75" hidden="false" customHeight="false" outlineLevel="0" collapsed="false">
      <c r="A25" s="272" t="s">
        <v>252</v>
      </c>
      <c r="D25" s="269" t="n">
        <f aca="false">SUM(D11:D24)</f>
        <v>5848.85952</v>
      </c>
      <c r="E25" s="269" t="n">
        <f aca="false">SUM(E11:E24)</f>
        <v>11271.6373056</v>
      </c>
      <c r="F25" s="269" t="n">
        <f aca="false">SUM(F11:F24)</f>
        <v>11285.210424768</v>
      </c>
      <c r="G25" s="269" t="n">
        <f aca="false">SUM(G11:G24)</f>
        <v>22628.7015353007</v>
      </c>
      <c r="H25" s="269" t="n">
        <f aca="false">SUM(H11:H24)</f>
        <v>34688.5027296967</v>
      </c>
      <c r="I25" s="269" t="n">
        <f aca="false">SUM(I11:I24)</f>
        <v>35146.7636660999</v>
      </c>
      <c r="J25" s="269" t="n">
        <f aca="false">SUM(J11:J24)</f>
        <v>35601.3111351939</v>
      </c>
      <c r="K25" s="269" t="n">
        <f aca="false">SUM(K11:K24)</f>
        <v>36051.5098940971</v>
      </c>
      <c r="L25" s="269" t="n">
        <f aca="false">SUM(L11:L24)</f>
        <v>37132.70422548</v>
      </c>
      <c r="M25" s="269" t="n">
        <f aca="false">SUM(M11:M24)</f>
        <v>37591.2396598604</v>
      </c>
      <c r="N25" s="269" t="n">
        <f aca="false">SUM(N11:N24)</f>
        <v>38718.6258842162</v>
      </c>
      <c r="O25" s="269" t="n">
        <f aca="false">SUM(O11:O24)</f>
        <v>39184.8436994877</v>
      </c>
      <c r="P25" s="269" t="n">
        <f aca="false">SUM(P11:P24)</f>
        <v>40360.0380450324</v>
      </c>
      <c r="Q25" s="269" t="n">
        <f aca="false">SUM(Q11:Q24)</f>
        <v>40833.1733343833</v>
      </c>
      <c r="R25" s="269" t="n">
        <f aca="false">SUM(R11:R24)</f>
        <v>41298.3832358179</v>
      </c>
      <c r="S25" s="269" t="n">
        <f aca="false">SUM(S11:S24)</f>
        <v>41754.7664043008</v>
      </c>
      <c r="T25" s="269" t="n">
        <f aca="false">SUM(T11:T24)</f>
        <v>42201.3745469437</v>
      </c>
      <c r="U25" s="269" t="n">
        <f aca="false">SUM(U11:U24)</f>
        <v>42637.2104173445</v>
      </c>
      <c r="V25" s="269" t="n">
        <f aca="false">SUM(V11:V24)</f>
        <v>43061.2257318403</v>
      </c>
      <c r="W25" s="269" t="n">
        <f aca="false">SUM(W11:W24)</f>
        <v>43472.3190047935</v>
      </c>
      <c r="X25" s="269" t="n">
        <f aca="false">SUM(X11:X24)</f>
        <v>43869.3332999283</v>
      </c>
      <c r="Y25" s="269" t="n">
        <f aca="false">SUM(Y11:Y24)</f>
        <v>44251.0538946302</v>
      </c>
      <c r="Z25" s="270"/>
      <c r="AA25" s="270"/>
    </row>
    <row r="26" customFormat="false" ht="12.75" hidden="false" customHeight="false" outlineLevel="0" collapsed="false">
      <c r="A26" s="274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70"/>
      <c r="AA26" s="270"/>
    </row>
    <row r="27" customFormat="false" ht="12.75" hidden="false" customHeight="false" outlineLevel="0" collapsed="false">
      <c r="A27" s="268" t="s">
        <v>253</v>
      </c>
      <c r="Z27" s="270"/>
      <c r="AA27" s="270"/>
    </row>
    <row r="28" customFormat="false" ht="12.75" hidden="false" customHeight="false" outlineLevel="0" collapsed="false">
      <c r="A28" s="272" t="s">
        <v>254</v>
      </c>
      <c r="D28" s="278" t="n">
        <f aca="false">Assumptions!$I$110</f>
        <v>0</v>
      </c>
      <c r="E28" s="278" t="n">
        <f aca="false">Assumptions!$I$110</f>
        <v>0</v>
      </c>
      <c r="F28" s="278" t="n">
        <f aca="false">Assumptions!$I$110</f>
        <v>0</v>
      </c>
      <c r="G28" s="278" t="n">
        <f aca="false">Assumptions!$I$110</f>
        <v>0</v>
      </c>
      <c r="H28" s="278" t="n">
        <f aca="false">Assumptions!$I$110</f>
        <v>0</v>
      </c>
      <c r="I28" s="278" t="n">
        <f aca="false">Assumptions!$I$110</f>
        <v>0</v>
      </c>
      <c r="J28" s="278" t="n">
        <f aca="false">Assumptions!$I$110</f>
        <v>0</v>
      </c>
      <c r="K28" s="278" t="n">
        <f aca="false">Assumptions!$I$110</f>
        <v>0</v>
      </c>
      <c r="L28" s="278" t="n">
        <f aca="false">Assumptions!$I$110</f>
        <v>0</v>
      </c>
      <c r="M28" s="278" t="n">
        <f aca="false">Assumptions!$I$110</f>
        <v>0</v>
      </c>
      <c r="N28" s="278" t="n">
        <f aca="false">Assumptions!$I$110</f>
        <v>0</v>
      </c>
      <c r="O28" s="278" t="n">
        <f aca="false">Assumptions!$I$110</f>
        <v>0</v>
      </c>
      <c r="P28" s="278" t="n">
        <f aca="false">Assumptions!$I$110</f>
        <v>0</v>
      </c>
      <c r="Q28" s="278" t="n">
        <f aca="false">Assumptions!$I$110</f>
        <v>0</v>
      </c>
      <c r="R28" s="278" t="n">
        <f aca="false">Assumptions!$I$110</f>
        <v>0</v>
      </c>
      <c r="S28" s="278" t="n">
        <f aca="false">Assumptions!$I$110</f>
        <v>0</v>
      </c>
      <c r="T28" s="278" t="n">
        <f aca="false">Assumptions!$I$110</f>
        <v>0</v>
      </c>
      <c r="U28" s="278" t="n">
        <f aca="false">Assumptions!$I$110</f>
        <v>0</v>
      </c>
      <c r="V28" s="278" t="n">
        <f aca="false">Assumptions!$I$110</f>
        <v>0</v>
      </c>
      <c r="W28" s="278" t="n">
        <f aca="false">Assumptions!$I$110</f>
        <v>0</v>
      </c>
      <c r="X28" s="278" t="n">
        <f aca="false">Assumptions!$I$110</f>
        <v>0</v>
      </c>
      <c r="Y28" s="278" t="n">
        <f aca="false">Assumptions!$I$110</f>
        <v>0</v>
      </c>
      <c r="Z28" s="270"/>
      <c r="AA28" s="270"/>
    </row>
    <row r="29" customFormat="false" ht="12.75" hidden="false" customHeight="false" outlineLevel="0" collapsed="false">
      <c r="A29" s="272" t="s">
        <v>60</v>
      </c>
      <c r="C29" s="269"/>
      <c r="D29" s="279" t="n">
        <f aca="false">Assumptions!$I68*Assumptions!I17/12</f>
        <v>0</v>
      </c>
      <c r="E29" s="279" t="n">
        <f aca="false">Assumptions!$I68*(1+Assumptions!$I$64)</f>
        <v>0</v>
      </c>
      <c r="F29" s="279" t="n">
        <f aca="false">E29*(1+Assumptions!$I$64)</f>
        <v>0</v>
      </c>
      <c r="G29" s="279" t="n">
        <f aca="false">F29*(1+Assumptions!$I$64)</f>
        <v>0</v>
      </c>
      <c r="H29" s="279" t="n">
        <f aca="false">G29*(1+Assumptions!$I$64)</f>
        <v>0</v>
      </c>
      <c r="I29" s="279" t="n">
        <f aca="false">H29*(1+Assumptions!$I$64)</f>
        <v>0</v>
      </c>
      <c r="J29" s="279" t="n">
        <f aca="false">I29*(1+Assumptions!$I$64)</f>
        <v>0</v>
      </c>
      <c r="K29" s="279" t="n">
        <f aca="false">J29*(1+Assumptions!$I$64)</f>
        <v>0</v>
      </c>
      <c r="L29" s="279" t="n">
        <f aca="false">K29*(1+Assumptions!$I$64)</f>
        <v>0</v>
      </c>
      <c r="M29" s="279" t="n">
        <f aca="false">L29*(1+Assumptions!$I$64)</f>
        <v>0</v>
      </c>
      <c r="N29" s="279" t="n">
        <f aca="false">M29*(1+Assumptions!$I$64)</f>
        <v>0</v>
      </c>
      <c r="O29" s="279" t="n">
        <f aca="false">N29*(1+Assumptions!$I$64)</f>
        <v>0</v>
      </c>
      <c r="P29" s="279" t="n">
        <f aca="false">O29*(1+Assumptions!$I$64)</f>
        <v>0</v>
      </c>
      <c r="Q29" s="279" t="n">
        <f aca="false">P29*(1+Assumptions!$I$64)</f>
        <v>0</v>
      </c>
      <c r="R29" s="279" t="n">
        <f aca="false">Q29*(1+Assumptions!$I$64)</f>
        <v>0</v>
      </c>
      <c r="S29" s="279" t="n">
        <f aca="false">R29*(1+Assumptions!$I$64)</f>
        <v>0</v>
      </c>
      <c r="T29" s="279" t="n">
        <f aca="false">S29*(1+Assumptions!$I$64)</f>
        <v>0</v>
      </c>
      <c r="U29" s="279" t="n">
        <f aca="false">T29*(1+Assumptions!$I$64)</f>
        <v>0</v>
      </c>
      <c r="V29" s="279" t="n">
        <f aca="false">U29*(1+Assumptions!$I$64)</f>
        <v>0</v>
      </c>
      <c r="W29" s="279" t="n">
        <f aca="false">V29*(1+Assumptions!$I$64)</f>
        <v>0</v>
      </c>
      <c r="X29" s="279" t="n">
        <f aca="false">W29*(1+Assumptions!$I$64)</f>
        <v>0</v>
      </c>
      <c r="Y29" s="279" t="n">
        <f aca="false">X29*(1+Assumptions!$I$64)</f>
        <v>0</v>
      </c>
      <c r="Z29" s="270"/>
      <c r="AA29" s="270"/>
    </row>
    <row r="30" customFormat="false" ht="12.75" hidden="false" customHeight="false" outlineLevel="0" collapsed="false">
      <c r="A30" s="272" t="s">
        <v>255</v>
      </c>
      <c r="C30" s="269"/>
      <c r="D30" s="278" t="n">
        <f aca="false">Assumptions!I69</f>
        <v>0.3660496</v>
      </c>
      <c r="E30" s="278" t="n">
        <f aca="false">D30*(1+Assumptions!$I$64)^(IS!E7-IS!$D$7)</f>
        <v>0.377031088</v>
      </c>
      <c r="F30" s="278" t="n">
        <f aca="false">E30*(1+Assumptions!$I$64)^(IS!F7-IS!$D$7)</f>
        <v>0.3999922812592</v>
      </c>
      <c r="G30" s="278" t="n">
        <f aca="false">F30*(1+Assumptions!$I$64)^(IS!G7-IS!$D$7)</f>
        <v>0.437082365523522</v>
      </c>
      <c r="H30" s="278" t="n">
        <f aca="false">G30*(1+Assumptions!$I$64)^(IS!H7-IS!$D$7)</f>
        <v>0.491940053092364</v>
      </c>
      <c r="I30" s="278" t="n">
        <f aca="false">H30*(1+Assumptions!$I$64)^(IS!I7-IS!$D$7)</f>
        <v>0.570293349659743</v>
      </c>
      <c r="J30" s="278" t="n">
        <f aca="false">I30*(1+Assumptions!$I$64)^(IS!J7-IS!$D$7)</f>
        <v>0.680960083856433</v>
      </c>
      <c r="K30" s="278" t="n">
        <f aca="false">J30*(1+Assumptions!$I$64)^(IS!K7-IS!$D$7)</f>
        <v>0.837495010532554</v>
      </c>
      <c r="L30" s="278" t="n">
        <f aca="false">K30*(1+Assumptions!$I$64)^(IS!L7-IS!$D$7)</f>
        <v>1.06091362265405</v>
      </c>
      <c r="M30" s="278" t="n">
        <f aca="false">L30*(1+Assumptions!$I$64)^(IS!M7-IS!$D$7)</f>
        <v>1.38425164519814</v>
      </c>
      <c r="N30" s="278" t="n">
        <f aca="false">M30*(1+Assumptions!$I$64)^(IS!N7-IS!$D$7)</f>
        <v>1.86031845911583</v>
      </c>
      <c r="O30" s="278" t="n">
        <f aca="false">N30*(1+Assumptions!$I$64)^(IS!O7-IS!$D$7)</f>
        <v>2.57511582144204</v>
      </c>
      <c r="P30" s="278" t="n">
        <f aca="false">O30*(1+Assumptions!$I$64)^(IS!P7-IS!$D$7)</f>
        <v>3.67149941731083</v>
      </c>
      <c r="Q30" s="278" t="n">
        <f aca="false">P30*(1+Assumptions!$I$64)^(IS!Q7-IS!$D$7)</f>
        <v>5.39172067323873</v>
      </c>
      <c r="R30" s="278" t="n">
        <f aca="false">Q30*(1+Assumptions!$I$64)^(IS!R7-IS!$D$7)</f>
        <v>8.15546128962978</v>
      </c>
      <c r="S30" s="278" t="n">
        <f aca="false">R30*(1+Assumptions!$I$64)^(IS!S7-IS!$D$7)</f>
        <v>12.7059429565921</v>
      </c>
      <c r="T30" s="278" t="n">
        <f aca="false">S30*(1+Assumptions!$I$64)^(IS!T7-IS!$D$7)</f>
        <v>20.3893084772652</v>
      </c>
      <c r="U30" s="278" t="n">
        <f aca="false">T30*(1+Assumptions!$I$64)^(IS!U7-IS!$D$7)</f>
        <v>33.7004202403061</v>
      </c>
      <c r="V30" s="278" t="n">
        <f aca="false">U30*(1+Assumptions!$I$64)^(IS!V7-IS!$D$7)</f>
        <v>57.3727095947755</v>
      </c>
      <c r="W30" s="278" t="n">
        <f aca="false">V30*(1+Assumptions!$I$64)^(IS!W7-IS!$D$7)</f>
        <v>100.603393555874</v>
      </c>
      <c r="X30" s="278" t="n">
        <f aca="false">W30*(1+Assumptions!$I$64)^(IS!X7-IS!$D$7)</f>
        <v>181.700919347132</v>
      </c>
      <c r="Y30" s="278" t="n">
        <f aca="false">X30*(1+Assumptions!$I$64)^(IS!Y7-IS!$D$7)</f>
        <v>338.017233936095</v>
      </c>
      <c r="Z30" s="270"/>
      <c r="AA30" s="270"/>
    </row>
    <row r="31" customFormat="false" ht="12.75" hidden="false" customHeight="false" outlineLevel="0" collapsed="false">
      <c r="A31" s="272" t="s">
        <v>210</v>
      </c>
      <c r="C31" s="269"/>
      <c r="D31" s="278" t="n">
        <v>410.19</v>
      </c>
      <c r="E31" s="278" t="n">
        <v>844.9914</v>
      </c>
      <c r="F31" s="278" t="n">
        <v>844.9914</v>
      </c>
      <c r="G31" s="278" t="n">
        <v>844.9914</v>
      </c>
      <c r="H31" s="278" t="n">
        <v>844.9914</v>
      </c>
      <c r="I31" s="278" t="n">
        <v>844.9914</v>
      </c>
      <c r="J31" s="278" t="n">
        <v>844.9914</v>
      </c>
      <c r="K31" s="278" t="n">
        <v>844.9914</v>
      </c>
      <c r="L31" s="278" t="n">
        <v>844.9914</v>
      </c>
      <c r="M31" s="278" t="n">
        <v>844.9914</v>
      </c>
      <c r="N31" s="278" t="n">
        <v>844.9914</v>
      </c>
      <c r="O31" s="278" t="n">
        <v>844.9914</v>
      </c>
      <c r="P31" s="278" t="n">
        <v>844.9914</v>
      </c>
      <c r="Q31" s="278" t="n">
        <v>844.9914</v>
      </c>
      <c r="R31" s="278" t="n">
        <v>844.9914</v>
      </c>
      <c r="S31" s="278" t="n">
        <v>844.9914</v>
      </c>
      <c r="T31" s="278" t="n">
        <v>844.9914</v>
      </c>
      <c r="U31" s="278" t="n">
        <v>844.9914</v>
      </c>
      <c r="V31" s="278" t="n">
        <v>844.9914</v>
      </c>
      <c r="W31" s="278" t="n">
        <v>844.9914</v>
      </c>
      <c r="X31" s="278" t="n">
        <v>844.9914</v>
      </c>
      <c r="Y31" s="278" t="n">
        <v>844.9914</v>
      </c>
      <c r="Z31" s="270"/>
      <c r="AA31" s="270"/>
    </row>
    <row r="32" customFormat="false" ht="12.75" hidden="false" customHeight="false" outlineLevel="0" collapsed="false">
      <c r="A32" s="272" t="s">
        <v>67</v>
      </c>
      <c r="C32" s="269"/>
      <c r="D32" s="279" t="n">
        <f aca="false">Assumptions!$I73*Assumptions!I17/12</f>
        <v>0</v>
      </c>
      <c r="E32" s="279" t="n">
        <f aca="false">Assumptions!$I73*(1+Assumptions!$I$64)</f>
        <v>0</v>
      </c>
      <c r="F32" s="279" t="n">
        <f aca="false">E32*(1+Assumptions!$I$64)</f>
        <v>0</v>
      </c>
      <c r="G32" s="279" t="n">
        <f aca="false">F32*(1+Assumptions!$I$64)</f>
        <v>0</v>
      </c>
      <c r="H32" s="279" t="n">
        <f aca="false">G32*(1+Assumptions!$I$64)</f>
        <v>0</v>
      </c>
      <c r="I32" s="279" t="n">
        <f aca="false">H32*(1+Assumptions!$I$64)</f>
        <v>0</v>
      </c>
      <c r="J32" s="279" t="n">
        <f aca="false">I32*(1+Assumptions!$I$64)</f>
        <v>0</v>
      </c>
      <c r="K32" s="279" t="n">
        <f aca="false">J32*(1+Assumptions!$I$64)</f>
        <v>0</v>
      </c>
      <c r="L32" s="279" t="n">
        <f aca="false">K32*(1+Assumptions!$I$64)</f>
        <v>0</v>
      </c>
      <c r="M32" s="279" t="n">
        <f aca="false">L32*(1+Assumptions!$I$64)</f>
        <v>0</v>
      </c>
      <c r="N32" s="279" t="n">
        <f aca="false">M32*(1+Assumptions!$I$64)</f>
        <v>0</v>
      </c>
      <c r="O32" s="279" t="n">
        <f aca="false">N32*(1+Assumptions!$I$64)</f>
        <v>0</v>
      </c>
      <c r="P32" s="279" t="n">
        <f aca="false">O32*(1+Assumptions!$I$64)</f>
        <v>0</v>
      </c>
      <c r="Q32" s="279" t="n">
        <f aca="false">P32*(1+Assumptions!$I$64)</f>
        <v>0</v>
      </c>
      <c r="R32" s="279" t="n">
        <f aca="false">Q32*(1+Assumptions!$I$64)</f>
        <v>0</v>
      </c>
      <c r="S32" s="279" t="n">
        <f aca="false">R32*(1+Assumptions!$I$64)</f>
        <v>0</v>
      </c>
      <c r="T32" s="279" t="n">
        <f aca="false">S32*(1+Assumptions!$I$64)</f>
        <v>0</v>
      </c>
      <c r="U32" s="279" t="n">
        <f aca="false">T32*(1+Assumptions!$I$64)</f>
        <v>0</v>
      </c>
      <c r="V32" s="279" t="n">
        <f aca="false">U32*(1+Assumptions!$I$64)</f>
        <v>0</v>
      </c>
      <c r="W32" s="279" t="n">
        <f aca="false">V32*(1+Assumptions!$I$64)</f>
        <v>0</v>
      </c>
      <c r="X32" s="279" t="n">
        <f aca="false">W32*(1+Assumptions!$I$64)</f>
        <v>0</v>
      </c>
      <c r="Y32" s="279" t="n">
        <f aca="false">X32*(1+Assumptions!$I$64)</f>
        <v>0</v>
      </c>
      <c r="Z32" s="270"/>
      <c r="AA32" s="270"/>
    </row>
    <row r="33" customFormat="false" ht="12.75" hidden="false" customHeight="false" outlineLevel="0" collapsed="false">
      <c r="A33" s="272" t="s">
        <v>213</v>
      </c>
      <c r="C33" s="269"/>
      <c r="D33" s="279" t="n">
        <f aca="false">Assumptions!$I74*Assumptions!I17/12</f>
        <v>0</v>
      </c>
      <c r="E33" s="279" t="n">
        <f aca="false">(Assumptions!$I74)*(1+Assumptions!$I$64)</f>
        <v>0</v>
      </c>
      <c r="F33" s="279" t="n">
        <f aca="false">E33*(1+Assumptions!$I$64)</f>
        <v>0</v>
      </c>
      <c r="G33" s="279" t="n">
        <f aca="false">F33*(1+Assumptions!$I$64)</f>
        <v>0</v>
      </c>
      <c r="H33" s="279" t="n">
        <f aca="false">G33*(1+Assumptions!$I$64)</f>
        <v>0</v>
      </c>
      <c r="I33" s="279" t="n">
        <f aca="false">H33*(1+Assumptions!$I$64)</f>
        <v>0</v>
      </c>
      <c r="J33" s="279" t="n">
        <f aca="false">I33*(1+Assumptions!$I$64)</f>
        <v>0</v>
      </c>
      <c r="K33" s="279" t="n">
        <f aca="false">J33*(1+Assumptions!$I$64)</f>
        <v>0</v>
      </c>
      <c r="L33" s="279" t="n">
        <f aca="false">K33*(1+Assumptions!$I$64)</f>
        <v>0</v>
      </c>
      <c r="M33" s="279" t="n">
        <f aca="false">L33*(1+Assumptions!$I$64)</f>
        <v>0</v>
      </c>
      <c r="N33" s="279" t="n">
        <f aca="false">M33*(1+Assumptions!$I$64)</f>
        <v>0</v>
      </c>
      <c r="O33" s="279" t="n">
        <f aca="false">N33*(1+Assumptions!$I$64)</f>
        <v>0</v>
      </c>
      <c r="P33" s="279" t="n">
        <f aca="false">O33*(1+Assumptions!$I$64)</f>
        <v>0</v>
      </c>
      <c r="Q33" s="279" t="n">
        <f aca="false">P33*(1+Assumptions!$I$64)</f>
        <v>0</v>
      </c>
      <c r="R33" s="279" t="n">
        <f aca="false">Q33*(1+Assumptions!$I$64)</f>
        <v>0</v>
      </c>
      <c r="S33" s="279" t="n">
        <f aca="false">R33*(1+Assumptions!$I$64)</f>
        <v>0</v>
      </c>
      <c r="T33" s="279" t="n">
        <f aca="false">S33*(1+Assumptions!$I$64)</f>
        <v>0</v>
      </c>
      <c r="U33" s="279" t="n">
        <f aca="false">T33*(1+Assumptions!$I$64)</f>
        <v>0</v>
      </c>
      <c r="V33" s="279" t="n">
        <f aca="false">U33*(1+Assumptions!$I$64)</f>
        <v>0</v>
      </c>
      <c r="W33" s="279" t="n">
        <f aca="false">V33*(1+Assumptions!$I$64)</f>
        <v>0</v>
      </c>
      <c r="X33" s="279" t="n">
        <f aca="false">W33*(1+Assumptions!$I$64)</f>
        <v>0</v>
      </c>
      <c r="Y33" s="279" t="n">
        <f aca="false">X33*(1+Assumptions!$I$64)</f>
        <v>0</v>
      </c>
      <c r="Z33" s="280"/>
      <c r="AA33" s="280"/>
    </row>
    <row r="34" customFormat="false" ht="12.75" hidden="false" customHeight="false" outlineLevel="0" collapsed="false">
      <c r="A34" s="272" t="s">
        <v>256</v>
      </c>
      <c r="C34" s="269"/>
      <c r="D34" s="279" t="n">
        <f aca="false">+Assumptions!I75*Assumptions!I17/12</f>
        <v>0</v>
      </c>
      <c r="E34" s="279" t="n">
        <f aca="false">+Assumptions!I75*(1+Assumptions!$I$64)</f>
        <v>0</v>
      </c>
      <c r="F34" s="279" t="n">
        <f aca="false">E34*(1+Assumptions!$I$64)</f>
        <v>0</v>
      </c>
      <c r="G34" s="279" t="n">
        <f aca="false">F34*(1+Assumptions!$I$64)</f>
        <v>0</v>
      </c>
      <c r="H34" s="279" t="n">
        <f aca="false">G34*(1+Assumptions!$I$64)</f>
        <v>0</v>
      </c>
      <c r="I34" s="279" t="n">
        <f aca="false">H34*(1+Assumptions!$I$64)</f>
        <v>0</v>
      </c>
      <c r="J34" s="279" t="n">
        <f aca="false">I34*(1+Assumptions!$I$64)</f>
        <v>0</v>
      </c>
      <c r="K34" s="279" t="n">
        <f aca="false">J34*(1+Assumptions!$I$64)</f>
        <v>0</v>
      </c>
      <c r="L34" s="279" t="n">
        <f aca="false">K34*(1+Assumptions!$I$64)</f>
        <v>0</v>
      </c>
      <c r="M34" s="279" t="n">
        <f aca="false">L34*(1+Assumptions!$I$64)</f>
        <v>0</v>
      </c>
      <c r="N34" s="279" t="n">
        <f aca="false">M34*(1+Assumptions!$I$64)</f>
        <v>0</v>
      </c>
      <c r="O34" s="279" t="n">
        <f aca="false">N34*(1+Assumptions!$I$64)</f>
        <v>0</v>
      </c>
      <c r="P34" s="279" t="n">
        <f aca="false">O34*(1+Assumptions!$I$64)</f>
        <v>0</v>
      </c>
      <c r="Q34" s="279" t="n">
        <f aca="false">P34*(1+Assumptions!$I$64)</f>
        <v>0</v>
      </c>
      <c r="R34" s="279" t="n">
        <f aca="false">Q34*(1+Assumptions!$I$64)</f>
        <v>0</v>
      </c>
      <c r="S34" s="279" t="n">
        <f aca="false">R34*(1+Assumptions!$I$64)</f>
        <v>0</v>
      </c>
      <c r="T34" s="279" t="n">
        <f aca="false">S34*(1+Assumptions!$I$64)</f>
        <v>0</v>
      </c>
      <c r="U34" s="279" t="n">
        <f aca="false">T34*(1+Assumptions!$I$64)</f>
        <v>0</v>
      </c>
      <c r="V34" s="279" t="n">
        <f aca="false">U34*(1+Assumptions!$I$64)</f>
        <v>0</v>
      </c>
      <c r="W34" s="279" t="n">
        <f aca="false">V34*(1+Assumptions!$I$64)</f>
        <v>0</v>
      </c>
      <c r="X34" s="279" t="n">
        <f aca="false">W34*(1+Assumptions!$I$64)</f>
        <v>0</v>
      </c>
      <c r="Y34" s="279" t="n">
        <f aca="false">X34*(1+Assumptions!$I$64)</f>
        <v>0</v>
      </c>
      <c r="Z34" s="280"/>
      <c r="AA34" s="280"/>
    </row>
    <row r="35" customFormat="false" ht="14.25" hidden="false" customHeight="true" outlineLevel="0" collapsed="false">
      <c r="A35" s="272" t="s">
        <v>257</v>
      </c>
      <c r="C35" s="269"/>
      <c r="D35" s="278" t="n">
        <v>0</v>
      </c>
      <c r="E35" s="278" t="n">
        <v>540.30229880616</v>
      </c>
      <c r="F35" s="278" t="n">
        <v>529.38710085048</v>
      </c>
      <c r="G35" s="281" t="n">
        <v>518.4719028948</v>
      </c>
      <c r="H35" s="278" t="n">
        <v>507.55670493912</v>
      </c>
      <c r="I35" s="278" t="n">
        <v>496.64150698344</v>
      </c>
      <c r="J35" s="278" t="n">
        <v>485.72630902776</v>
      </c>
      <c r="K35" s="278" t="n">
        <v>469.35351209424</v>
      </c>
      <c r="L35" s="278" t="n">
        <v>452.98071516072</v>
      </c>
      <c r="M35" s="278" t="n">
        <v>436.6079182272</v>
      </c>
      <c r="N35" s="278" t="n">
        <v>414.77752231584</v>
      </c>
      <c r="O35" s="278" t="n">
        <v>1178.84137921344</v>
      </c>
      <c r="P35" s="278" t="n">
        <v>1096.97739454584</v>
      </c>
      <c r="Q35" s="278" t="n">
        <v>998.74061294472</v>
      </c>
      <c r="R35" s="278" t="n">
        <v>900.5038313436</v>
      </c>
      <c r="S35" s="278" t="n">
        <v>802.26704974248</v>
      </c>
      <c r="T35" s="278" t="n">
        <v>671.28467427432</v>
      </c>
      <c r="U35" s="278" t="n">
        <v>523.92950187264</v>
      </c>
      <c r="V35" s="278" t="n">
        <v>376.57432947096</v>
      </c>
      <c r="W35" s="278" t="n">
        <v>327.4559386704</v>
      </c>
      <c r="X35" s="278" t="n">
        <v>327.4559386704</v>
      </c>
      <c r="Y35" s="278" t="n">
        <v>0</v>
      </c>
      <c r="Z35" s="270"/>
      <c r="AA35" s="270"/>
    </row>
    <row r="36" customFormat="false" ht="12.75" hidden="false" customHeight="false" outlineLevel="0" collapsed="false">
      <c r="A36" s="39" t="s">
        <v>199</v>
      </c>
      <c r="C36" s="269"/>
      <c r="D36" s="273" t="n">
        <f aca="false">Assumptions!$B$63*MAX(Debt!B87:$V$87)/2*(13-MONTH(Assumptions!$B$47))/12</f>
        <v>41.6666666666667</v>
      </c>
      <c r="E36" s="273" t="n">
        <f aca="false">Assumptions!$B$63*MAX(Debt!C87:$V$87)/2*(13-MONTH(Assumptions!$B$47))/12</f>
        <v>41.6666666666667</v>
      </c>
      <c r="F36" s="273" t="n">
        <f aca="false">Assumptions!$B$63*MAX(Debt!D87:$V$87)/2*(13-MONTH(Assumptions!$B$47))/12</f>
        <v>40.3333333333333</v>
      </c>
      <c r="G36" s="273" t="n">
        <f aca="false">Assumptions!$B$63*MAX(Debt!E87:$V$87)/2*(13-MONTH(Assumptions!$B$47))/12</f>
        <v>39</v>
      </c>
      <c r="H36" s="273" t="n">
        <f aca="false">Assumptions!$B$63*MAX(Debt!F87:$V$87)/2*(13-MONTH(Assumptions!$B$47))/12</f>
        <v>37.6666666666667</v>
      </c>
      <c r="I36" s="273" t="n">
        <f aca="false">Assumptions!$B$63*MAX(Debt!G87:$V$87)/2*(13-MONTH(Assumptions!$B$47))/12</f>
        <v>36.3333333333333</v>
      </c>
      <c r="J36" s="273" t="n">
        <f aca="false">Assumptions!$B$63*MAX(Debt!H87:$V$87)/2*(13-MONTH(Assumptions!$B$47))/12</f>
        <v>35</v>
      </c>
      <c r="K36" s="273" t="n">
        <f aca="false">Assumptions!$B$63*MAX(Debt!I87:$V$87)/2*(13-MONTH(Assumptions!$B$47))/12</f>
        <v>33.6666666666667</v>
      </c>
      <c r="L36" s="273" t="n">
        <f aca="false">Assumptions!$B$63*MAX(Debt!J87:$V$87)/2*(13-MONTH(Assumptions!$B$47))/12</f>
        <v>32.3333333333333</v>
      </c>
      <c r="M36" s="273" t="n">
        <f aca="false">Assumptions!$B$63*MAX(Debt!K87:$V$87)/2*(13-MONTH(Assumptions!$B$47))/12</f>
        <v>31</v>
      </c>
      <c r="N36" s="273" t="n">
        <f aca="false">Assumptions!$B$63*MAX(Debt!L87:$V$87)/2*(13-MONTH(Assumptions!$B$47))/12</f>
        <v>29.6666666666667</v>
      </c>
      <c r="O36" s="273" t="n">
        <f aca="false">Assumptions!$B$63*MAX(Debt!M87:$V$87)/2*(13-MONTH(Assumptions!$B$47))/12</f>
        <v>28.3333333333333</v>
      </c>
      <c r="P36" s="273" t="n">
        <f aca="false">Assumptions!$B$63*MAX(Debt!N87:$V$87)/2*(13-MONTH(Assumptions!$B$47))/12</f>
        <v>27</v>
      </c>
      <c r="Q36" s="273" t="n">
        <f aca="false">Assumptions!$B$63*MAX(Debt!O87:$V$87)/2*(13-MONTH(Assumptions!$B$47))/12</f>
        <v>25.6666666666667</v>
      </c>
      <c r="R36" s="273" t="n">
        <f aca="false">Assumptions!$B$63*MAX(Debt!P87:$V$87)/2*(13-MONTH(Assumptions!$B$47))/12</f>
        <v>24.3333333333333</v>
      </c>
      <c r="S36" s="273" t="n">
        <f aca="false">Assumptions!$B$63*MAX(Debt!Q87:$V$87)/2*(13-MONTH(Assumptions!$B$47))/12</f>
        <v>23</v>
      </c>
      <c r="T36" s="273" t="n">
        <f aca="false">Assumptions!$B$63*MAX(Debt!R87:$V$87)/2*(13-MONTH(Assumptions!$B$47))/12</f>
        <v>21.6666666666667</v>
      </c>
      <c r="U36" s="273" t="n">
        <f aca="false">Assumptions!$B$63*MAX(Debt!S87:$V$87)/2*(13-MONTH(Assumptions!$B$47))/12</f>
        <v>20.3333333333333</v>
      </c>
      <c r="V36" s="273" t="n">
        <f aca="false">Assumptions!$B$63*MAX(Debt!T87:$V$87)/2*(13-MONTH(Assumptions!$B$47))/12</f>
        <v>19</v>
      </c>
      <c r="W36" s="273" t="n">
        <f aca="false">Assumptions!$B$63*MAX(Debt!U87:$V$87)/2*(13-MONTH(Assumptions!$B$47))/12</f>
        <v>17.6666666666667</v>
      </c>
      <c r="X36" s="273" t="n">
        <f aca="false">Assumptions!$B$63*MAX(Debt!V87:$V$87)/2*(13-MONTH(Assumptions!$B$47))/12</f>
        <v>0</v>
      </c>
      <c r="Y36" s="273" t="n">
        <f aca="false">Assumptions!$B$63*MAX(Debt!$V87:W$87)/2*(13-MONTH(Assumptions!$B$47))/12</f>
        <v>0</v>
      </c>
      <c r="Z36" s="270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</row>
    <row r="37" customFormat="false" ht="12.75" hidden="false" customHeight="false" outlineLevel="0" collapsed="false">
      <c r="A37" s="39" t="s">
        <v>70</v>
      </c>
      <c r="C37" s="269"/>
      <c r="D37" s="278" t="n">
        <v>0</v>
      </c>
      <c r="E37" s="278" t="n">
        <v>0</v>
      </c>
      <c r="F37" s="278" t="n">
        <v>0</v>
      </c>
      <c r="G37" s="278" t="n">
        <v>0</v>
      </c>
      <c r="H37" s="283" t="n">
        <f aca="false">Assumptions!$J$76*Assumptions!$I$44*7</f>
        <v>0.0098</v>
      </c>
      <c r="I37" s="283" t="n">
        <f aca="false">Assumptions!$J$76*Assumptions!$I$44*12*(1+Assumptions!I64)</f>
        <v>0.017304</v>
      </c>
      <c r="J37" s="283" t="n">
        <f aca="false">I37*(1+Assumptions!$I$64)</f>
        <v>0.01782312</v>
      </c>
      <c r="K37" s="283" t="n">
        <f aca="false">J37*(1+Assumptions!$I$64)</f>
        <v>0.0183578136</v>
      </c>
      <c r="L37" s="283" t="n">
        <f aca="false">K37*(1+Assumptions!$I$64)</f>
        <v>0.018908548008</v>
      </c>
      <c r="M37" s="283" t="n">
        <f aca="false">L37*(1+Assumptions!$I$64)</f>
        <v>0.01947580444824</v>
      </c>
      <c r="N37" s="283" t="n">
        <f aca="false">M37*(1+Assumptions!$I$64)</f>
        <v>0.0200600785816872</v>
      </c>
      <c r="O37" s="283" t="n">
        <f aca="false">N37*(1+Assumptions!$I$64)</f>
        <v>0.0206618809391378</v>
      </c>
      <c r="P37" s="283" t="n">
        <f aca="false">O37*(1+Assumptions!$I$64)</f>
        <v>0.021281737367312</v>
      </c>
      <c r="Q37" s="283" t="n">
        <f aca="false">P37*(1+Assumptions!$I$64)</f>
        <v>0.0219201894883313</v>
      </c>
      <c r="R37" s="283" t="n">
        <f aca="false">Q37*(1+Assumptions!$I$64)</f>
        <v>0.0225777951729813</v>
      </c>
      <c r="S37" s="283" t="n">
        <f aca="false">R37*(1+Assumptions!$I$64)</f>
        <v>0.0232551290281707</v>
      </c>
      <c r="T37" s="283" t="n">
        <f aca="false">S37*(1+Assumptions!$I$64)</f>
        <v>0.0239527828990158</v>
      </c>
      <c r="U37" s="283" t="n">
        <f aca="false">T37*(1+Assumptions!$I$64)</f>
        <v>0.0246713663859863</v>
      </c>
      <c r="V37" s="283" t="n">
        <f aca="false">U37*(1+Assumptions!$I$64)</f>
        <v>0.0254115073775659</v>
      </c>
      <c r="W37" s="283" t="n">
        <f aca="false">V37*(1+Assumptions!$I$64)</f>
        <v>0.0261738525988929</v>
      </c>
      <c r="X37" s="283" t="n">
        <f aca="false">W37*(1+Assumptions!$I$64)</f>
        <v>0.0269590681768596</v>
      </c>
      <c r="Y37" s="283" t="n">
        <f aca="false">X37*(1+Assumptions!$I$64)</f>
        <v>0.0277678402221654</v>
      </c>
      <c r="Z37" s="270"/>
      <c r="AA37" s="270"/>
    </row>
    <row r="38" customFormat="false" ht="12.75" hidden="false" customHeight="false" outlineLevel="0" collapsed="false">
      <c r="A38" s="272" t="s">
        <v>258</v>
      </c>
      <c r="C38" s="269"/>
      <c r="D38" s="279" t="n">
        <f aca="false">Assumptions!$I77*Assumptions!I17/12</f>
        <v>0</v>
      </c>
      <c r="E38" s="279" t="n">
        <f aca="false">Assumptions!$I77*(1+Assumptions!$I$64)</f>
        <v>0</v>
      </c>
      <c r="F38" s="279" t="n">
        <f aca="false">E38*(1+Assumptions!$I$64)</f>
        <v>0</v>
      </c>
      <c r="G38" s="279" t="n">
        <f aca="false">F38*(1+Assumptions!$I$64)</f>
        <v>0</v>
      </c>
      <c r="H38" s="279" t="n">
        <f aca="false">G38*(1+Assumptions!$I$64)</f>
        <v>0</v>
      </c>
      <c r="I38" s="279" t="n">
        <f aca="false">H38*(1+Assumptions!$I$64)</f>
        <v>0</v>
      </c>
      <c r="J38" s="279" t="n">
        <f aca="false">I38*(1+Assumptions!$I$64)</f>
        <v>0</v>
      </c>
      <c r="K38" s="279" t="n">
        <f aca="false">J38*(1+Assumptions!$I$64)</f>
        <v>0</v>
      </c>
      <c r="L38" s="279" t="n">
        <f aca="false">K38*(1+Assumptions!$I$64)</f>
        <v>0</v>
      </c>
      <c r="M38" s="279" t="n">
        <f aca="false">L38*(1+Assumptions!$I$64)</f>
        <v>0</v>
      </c>
      <c r="N38" s="279" t="n">
        <f aca="false">M38*(1+Assumptions!$I$64)</f>
        <v>0</v>
      </c>
      <c r="O38" s="279" t="n">
        <f aca="false">N38*(1+Assumptions!$I$64)</f>
        <v>0</v>
      </c>
      <c r="P38" s="279" t="n">
        <f aca="false">O38*(1+Assumptions!$I$64)</f>
        <v>0</v>
      </c>
      <c r="Q38" s="279" t="n">
        <f aca="false">P38*(1+Assumptions!$I$64)</f>
        <v>0</v>
      </c>
      <c r="R38" s="279" t="n">
        <f aca="false">Q38*(1+Assumptions!$I$64)</f>
        <v>0</v>
      </c>
      <c r="S38" s="279" t="n">
        <f aca="false">R38*(1+Assumptions!$I$64)</f>
        <v>0</v>
      </c>
      <c r="T38" s="279" t="n">
        <f aca="false">S38*(1+Assumptions!$I$64)</f>
        <v>0</v>
      </c>
      <c r="U38" s="279" t="n">
        <f aca="false">T38*(1+Assumptions!$I$64)</f>
        <v>0</v>
      </c>
      <c r="V38" s="279" t="n">
        <f aca="false">U38*(1+Assumptions!$I$64)</f>
        <v>0</v>
      </c>
      <c r="W38" s="279" t="n">
        <f aca="false">V38*(1+Assumptions!$I$64)</f>
        <v>0</v>
      </c>
      <c r="X38" s="279" t="n">
        <f aca="false">W38*(1+Assumptions!$I$64)</f>
        <v>0</v>
      </c>
      <c r="Y38" s="279" t="n">
        <f aca="false">X38*(1+Assumptions!$I$64)</f>
        <v>0</v>
      </c>
      <c r="Z38" s="270"/>
      <c r="AA38" s="270"/>
    </row>
    <row r="39" customFormat="false" ht="12.75" hidden="false" customHeight="false" outlineLevel="0" collapsed="false">
      <c r="A39" s="272" t="s">
        <v>259</v>
      </c>
      <c r="C39" s="284"/>
      <c r="D39" s="285" t="n">
        <f aca="false">Assumptions!$I78*Assumptions!I17/12</f>
        <v>0</v>
      </c>
      <c r="E39" s="285" t="n">
        <f aca="false">Assumptions!$I78*(1+Assumptions!$I$64)</f>
        <v>0</v>
      </c>
      <c r="F39" s="285" t="n">
        <f aca="false">E39*(1+Assumptions!$I$64)</f>
        <v>0</v>
      </c>
      <c r="G39" s="285" t="n">
        <f aca="false">F39*(1+Assumptions!$I$64)</f>
        <v>0</v>
      </c>
      <c r="H39" s="285" t="n">
        <f aca="false">G39*(1+Assumptions!$I$64)</f>
        <v>0</v>
      </c>
      <c r="I39" s="285" t="n">
        <f aca="false">H39*(1+Assumptions!$I$64)</f>
        <v>0</v>
      </c>
      <c r="J39" s="285" t="n">
        <f aca="false">I39*(1+Assumptions!$I$64)</f>
        <v>0</v>
      </c>
      <c r="K39" s="285" t="n">
        <f aca="false">J39*(1+Assumptions!$I$64)</f>
        <v>0</v>
      </c>
      <c r="L39" s="285" t="n">
        <f aca="false">K39*(1+Assumptions!$I$64)</f>
        <v>0</v>
      </c>
      <c r="M39" s="285" t="n">
        <f aca="false">L39*(1+Assumptions!$I$64)</f>
        <v>0</v>
      </c>
      <c r="N39" s="285" t="n">
        <f aca="false">M39*(1+Assumptions!$I$64)</f>
        <v>0</v>
      </c>
      <c r="O39" s="285" t="n">
        <f aca="false">N39*(1+Assumptions!$I$64)</f>
        <v>0</v>
      </c>
      <c r="P39" s="285" t="n">
        <f aca="false">O39*(1+Assumptions!$I$64)</f>
        <v>0</v>
      </c>
      <c r="Q39" s="285" t="n">
        <f aca="false">P39*(1+Assumptions!$I$64)</f>
        <v>0</v>
      </c>
      <c r="R39" s="285" t="n">
        <f aca="false">Q39*(1+Assumptions!$I$64)</f>
        <v>0</v>
      </c>
      <c r="S39" s="285" t="n">
        <f aca="false">R39*(1+Assumptions!$I$64)</f>
        <v>0</v>
      </c>
      <c r="T39" s="285" t="n">
        <f aca="false">S39*(1+Assumptions!$I$64)</f>
        <v>0</v>
      </c>
      <c r="U39" s="285" t="n">
        <f aca="false">T39*(1+Assumptions!$I$64)</f>
        <v>0</v>
      </c>
      <c r="V39" s="285" t="n">
        <f aca="false">U39*(1+Assumptions!$I$64)</f>
        <v>0</v>
      </c>
      <c r="W39" s="285" t="n">
        <f aca="false">V39*(1+Assumptions!$I$64)</f>
        <v>0</v>
      </c>
      <c r="X39" s="285" t="n">
        <f aca="false">W39*(1+Assumptions!$I$64)</f>
        <v>0</v>
      </c>
      <c r="Y39" s="285" t="n">
        <f aca="false">X39*(1+Assumptions!$I$64)</f>
        <v>0</v>
      </c>
      <c r="Z39" s="286"/>
      <c r="AA39" s="286"/>
    </row>
    <row r="40" customFormat="false" ht="12.75" hidden="false" customHeight="false" outlineLevel="0" collapsed="false">
      <c r="A40" s="272" t="s">
        <v>260</v>
      </c>
      <c r="C40" s="287"/>
      <c r="D40" s="287" t="n">
        <f aca="false">SUM(D28:D39)</f>
        <v>452.222716266667</v>
      </c>
      <c r="E40" s="287" t="n">
        <f aca="false">SUM(E28:E39)</f>
        <v>1427.33739656083</v>
      </c>
      <c r="F40" s="287" t="n">
        <f aca="false">SUM(F28:F39)</f>
        <v>1415.11182646507</v>
      </c>
      <c r="G40" s="287" t="n">
        <f aca="false">SUM(G28:G39)</f>
        <v>1402.90038526032</v>
      </c>
      <c r="H40" s="287" t="n">
        <f aca="false">SUM(H28:H39)</f>
        <v>1390.71651165888</v>
      </c>
      <c r="I40" s="287" t="n">
        <f aca="false">SUM(I28:I39)</f>
        <v>1378.55383766643</v>
      </c>
      <c r="J40" s="287" t="n">
        <f aca="false">SUM(J28:J39)</f>
        <v>1366.41649223162</v>
      </c>
      <c r="K40" s="287" t="n">
        <f aca="false">SUM(K28:K39)</f>
        <v>1348.86743158504</v>
      </c>
      <c r="L40" s="287" t="n">
        <f aca="false">SUM(L28:L39)</f>
        <v>1331.38527066472</v>
      </c>
      <c r="M40" s="287" t="n">
        <f aca="false">SUM(M28:M39)</f>
        <v>1314.00304567685</v>
      </c>
      <c r="N40" s="287" t="n">
        <f aca="false">SUM(N28:N39)</f>
        <v>1291.3159675202</v>
      </c>
      <c r="O40" s="287" t="n">
        <f aca="false">SUM(O28:O39)</f>
        <v>2054.76189024915</v>
      </c>
      <c r="P40" s="287" t="n">
        <f aca="false">SUM(P28:P39)</f>
        <v>1972.66157570052</v>
      </c>
      <c r="Q40" s="287" t="n">
        <f aca="false">SUM(Q28:Q39)</f>
        <v>1874.81232047411</v>
      </c>
      <c r="R40" s="287" t="n">
        <f aca="false">SUM(R28:R39)</f>
        <v>1778.00660376174</v>
      </c>
      <c r="S40" s="287" t="n">
        <f aca="false">SUM(S28:S39)</f>
        <v>1682.9876478281</v>
      </c>
      <c r="T40" s="287" t="n">
        <f aca="false">SUM(T28:T39)</f>
        <v>1558.35600220115</v>
      </c>
      <c r="U40" s="287" t="n">
        <f aca="false">SUM(U28:U39)</f>
        <v>1422.97932681267</v>
      </c>
      <c r="V40" s="287" t="n">
        <f aca="false">SUM(V28:V39)</f>
        <v>1297.96385057311</v>
      </c>
      <c r="W40" s="287" t="n">
        <f aca="false">SUM(W28:W39)</f>
        <v>1290.74357274554</v>
      </c>
      <c r="X40" s="287" t="n">
        <f aca="false">SUM(X28:X39)</f>
        <v>1354.17521708571</v>
      </c>
      <c r="Y40" s="287" t="n">
        <f aca="false">SUM(Y28:Y39)</f>
        <v>1183.03640177632</v>
      </c>
      <c r="Z40" s="280"/>
      <c r="AA40" s="280"/>
    </row>
    <row r="41" customFormat="false" ht="12.75" hidden="false" customHeight="false" outlineLevel="0" collapsed="false">
      <c r="A41" s="288"/>
      <c r="C41" s="289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1"/>
      <c r="AA41" s="291"/>
    </row>
    <row r="42" customFormat="false" ht="12.75" hidden="false" customHeight="false" outlineLevel="0" collapsed="false">
      <c r="A42" s="268" t="s">
        <v>261</v>
      </c>
      <c r="D42" s="292" t="n">
        <f aca="false">D25-D40</f>
        <v>5396.63680373333</v>
      </c>
      <c r="E42" s="292" t="n">
        <f aca="false">E25-E40</f>
        <v>9844.29990903917</v>
      </c>
      <c r="F42" s="292" t="n">
        <f aca="false">F25-F40</f>
        <v>9870.09859830293</v>
      </c>
      <c r="G42" s="292" t="n">
        <f aca="false">G25-G40</f>
        <v>21225.8011500404</v>
      </c>
      <c r="H42" s="292" t="n">
        <f aca="false">H25-H40</f>
        <v>33297.7862180378</v>
      </c>
      <c r="I42" s="292" t="n">
        <f aca="false">I25-I40</f>
        <v>33768.2098284335</v>
      </c>
      <c r="J42" s="292" t="n">
        <f aca="false">J25-J40</f>
        <v>34234.8946429622</v>
      </c>
      <c r="K42" s="292" t="n">
        <f aca="false">K25-K40</f>
        <v>34702.6424625121</v>
      </c>
      <c r="L42" s="292" t="n">
        <f aca="false">L25-L40</f>
        <v>35801.3189548153</v>
      </c>
      <c r="M42" s="292" t="n">
        <f aca="false">M25-M40</f>
        <v>36277.2366141835</v>
      </c>
      <c r="N42" s="292" t="n">
        <f aca="false">N25-N40</f>
        <v>37427.309916696</v>
      </c>
      <c r="O42" s="292" t="n">
        <f aca="false">O25-O40</f>
        <v>37130.0818092386</v>
      </c>
      <c r="P42" s="292" t="n">
        <f aca="false">P25-P40</f>
        <v>38387.3764693318</v>
      </c>
      <c r="Q42" s="292" t="n">
        <f aca="false">Q25-Q40</f>
        <v>38958.3610139091</v>
      </c>
      <c r="R42" s="292" t="n">
        <f aca="false">R25-R40</f>
        <v>39520.3766320561</v>
      </c>
      <c r="S42" s="292" t="n">
        <f aca="false">S25-S40</f>
        <v>40071.7787564727</v>
      </c>
      <c r="T42" s="292" t="n">
        <f aca="false">T25-T40</f>
        <v>40643.0185447426</v>
      </c>
      <c r="U42" s="292" t="n">
        <f aca="false">U25-U40</f>
        <v>41214.2310905319</v>
      </c>
      <c r="V42" s="292" t="n">
        <f aca="false">V25-V40</f>
        <v>41763.2618812672</v>
      </c>
      <c r="W42" s="292" t="n">
        <f aca="false">W25-W40</f>
        <v>42181.5754320479</v>
      </c>
      <c r="X42" s="292" t="n">
        <f aca="false">X25-X40</f>
        <v>42515.1580828426</v>
      </c>
      <c r="Y42" s="292" t="n">
        <f aca="false">Y25-Y40</f>
        <v>43068.0174928538</v>
      </c>
      <c r="Z42" s="293"/>
      <c r="AA42" s="293"/>
    </row>
    <row r="43" customFormat="false" ht="12.75" hidden="false" customHeight="false" outlineLevel="0" collapsed="false">
      <c r="A43" s="268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3"/>
      <c r="AA43" s="293"/>
    </row>
    <row r="44" customFormat="false" ht="12.75" hidden="false" customHeight="false" outlineLevel="0" collapsed="false">
      <c r="A44" s="272" t="s">
        <v>262</v>
      </c>
      <c r="D44" s="269" t="n">
        <f aca="false">Depreciation!E42</f>
        <v>1494.27</v>
      </c>
      <c r="E44" s="269" t="n">
        <f aca="false">Depreciation!F42</f>
        <v>4482.81</v>
      </c>
      <c r="F44" s="269" t="n">
        <f aca="false">Depreciation!G42</f>
        <v>4482.81</v>
      </c>
      <c r="G44" s="269" t="n">
        <f aca="false">Depreciation!H42</f>
        <v>4482.81</v>
      </c>
      <c r="H44" s="269" t="n">
        <f aca="false">Depreciation!I42</f>
        <v>4482.81</v>
      </c>
      <c r="I44" s="269" t="n">
        <f aca="false">Depreciation!J42</f>
        <v>4482.81</v>
      </c>
      <c r="J44" s="269" t="n">
        <f aca="false">Depreciation!K42</f>
        <v>4482.81</v>
      </c>
      <c r="K44" s="269" t="n">
        <f aca="false">Depreciation!L42</f>
        <v>4482.81</v>
      </c>
      <c r="L44" s="269" t="n">
        <f aca="false">Depreciation!M42</f>
        <v>4482.81</v>
      </c>
      <c r="M44" s="269" t="n">
        <f aca="false">Depreciation!N42</f>
        <v>4482.81</v>
      </c>
      <c r="N44" s="269" t="n">
        <f aca="false">Depreciation!O42</f>
        <v>4482.81</v>
      </c>
      <c r="O44" s="269" t="n">
        <f aca="false">Depreciation!P42</f>
        <v>4482.81</v>
      </c>
      <c r="P44" s="269" t="n">
        <f aca="false">Depreciation!Q42</f>
        <v>4482.81</v>
      </c>
      <c r="Q44" s="269" t="n">
        <f aca="false">Depreciation!R42</f>
        <v>4482.81</v>
      </c>
      <c r="R44" s="269" t="n">
        <f aca="false">Depreciation!S42</f>
        <v>4482.81</v>
      </c>
      <c r="S44" s="269" t="n">
        <f aca="false">Depreciation!T42</f>
        <v>4482.81</v>
      </c>
      <c r="T44" s="269" t="n">
        <f aca="false">Depreciation!U42</f>
        <v>4482.81</v>
      </c>
      <c r="U44" s="269" t="n">
        <f aca="false">Depreciation!V42</f>
        <v>4482.81</v>
      </c>
      <c r="V44" s="269" t="n">
        <f aca="false">Depreciation!W42</f>
        <v>4482.81</v>
      </c>
      <c r="W44" s="269" t="n">
        <f aca="false">Depreciation!X42</f>
        <v>4482.81</v>
      </c>
      <c r="X44" s="269" t="n">
        <f aca="false">Depreciation!Y42</f>
        <v>4482.81</v>
      </c>
      <c r="Y44" s="269" t="n">
        <f aca="false">Depreciation!Z42</f>
        <v>4482.81</v>
      </c>
      <c r="Z44" s="270"/>
      <c r="AA44" s="270"/>
    </row>
    <row r="45" customFormat="false" ht="12.75" hidden="false" customHeight="false" outlineLevel="0" collapsed="false">
      <c r="A45" s="272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70"/>
      <c r="AA45" s="270"/>
    </row>
    <row r="46" customFormat="false" ht="12.75" hidden="false" customHeight="false" outlineLevel="0" collapsed="false">
      <c r="A46" s="268" t="s">
        <v>263</v>
      </c>
      <c r="D46" s="292" t="n">
        <f aca="false">D42-D44</f>
        <v>3902.36680373333</v>
      </c>
      <c r="E46" s="292" t="n">
        <f aca="false">E42-E44</f>
        <v>5361.48990903917</v>
      </c>
      <c r="F46" s="292" t="n">
        <f aca="false">F42-F44</f>
        <v>5387.28859830293</v>
      </c>
      <c r="G46" s="292" t="n">
        <f aca="false">G42-G44</f>
        <v>16742.9911500404</v>
      </c>
      <c r="H46" s="292" t="n">
        <f aca="false">H42-H44</f>
        <v>28814.9762180378</v>
      </c>
      <c r="I46" s="292" t="n">
        <f aca="false">I42-I44</f>
        <v>29285.3998284335</v>
      </c>
      <c r="J46" s="292" t="n">
        <f aca="false">J42-J44</f>
        <v>29752.0846429622</v>
      </c>
      <c r="K46" s="292" t="n">
        <f aca="false">K42-K44</f>
        <v>30219.8324625121</v>
      </c>
      <c r="L46" s="292" t="n">
        <f aca="false">L42-L44</f>
        <v>31318.5089548153</v>
      </c>
      <c r="M46" s="292" t="n">
        <f aca="false">M42-M44</f>
        <v>31794.4266141835</v>
      </c>
      <c r="N46" s="292" t="n">
        <f aca="false">N42-N44</f>
        <v>32944.499916696</v>
      </c>
      <c r="O46" s="292" t="n">
        <f aca="false">O42-O44</f>
        <v>32647.2718092386</v>
      </c>
      <c r="P46" s="292" t="n">
        <f aca="false">P42-P44</f>
        <v>33904.5664693318</v>
      </c>
      <c r="Q46" s="292" t="n">
        <f aca="false">Q42-Q44</f>
        <v>34475.5510139091</v>
      </c>
      <c r="R46" s="292" t="n">
        <f aca="false">R42-R44</f>
        <v>35037.5666320561</v>
      </c>
      <c r="S46" s="292" t="n">
        <f aca="false">S42-S44</f>
        <v>35588.9687564727</v>
      </c>
      <c r="T46" s="292" t="n">
        <f aca="false">T42-T44</f>
        <v>36160.2085447426</v>
      </c>
      <c r="U46" s="292" t="n">
        <f aca="false">U42-U44</f>
        <v>36731.4210905319</v>
      </c>
      <c r="V46" s="292" t="n">
        <f aca="false">V42-V44</f>
        <v>37280.4518812672</v>
      </c>
      <c r="W46" s="292" t="n">
        <f aca="false">W42-W44</f>
        <v>37698.7654320479</v>
      </c>
      <c r="X46" s="292" t="n">
        <f aca="false">X42-X44</f>
        <v>38032.3480828426</v>
      </c>
      <c r="Y46" s="292" t="n">
        <f aca="false">Y42-Y44</f>
        <v>38585.2074928538</v>
      </c>
      <c r="Z46" s="293"/>
      <c r="AA46" s="293"/>
    </row>
    <row r="47" customFormat="false" ht="12.75" hidden="false" customHeight="false" outlineLevel="0" collapsed="false">
      <c r="A47" s="268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3"/>
      <c r="AA47" s="293"/>
    </row>
    <row r="48" customFormat="false" ht="15.75" hidden="false" customHeight="false" outlineLevel="0" collapsed="false">
      <c r="A48" s="272" t="s">
        <v>264</v>
      </c>
      <c r="C48" s="269"/>
      <c r="D48" s="269" t="n">
        <f aca="false">Debt!B42+Debt!B59+Debt!B76+Debt!B131</f>
        <v>0</v>
      </c>
      <c r="E48" s="269" t="n">
        <f aca="false">Debt!C42+Debt!C59+Debt!C76+Debt!C131</f>
        <v>0</v>
      </c>
      <c r="F48" s="269" t="n">
        <f aca="false">Debt!D42+Debt!D59+Debt!D76</f>
        <v>0</v>
      </c>
      <c r="G48" s="269" t="n">
        <f aca="false">Debt!E42+Debt!E59+Debt!E76</f>
        <v>0</v>
      </c>
      <c r="H48" s="269" t="n">
        <f aca="false">Debt!F42+Debt!F59+Debt!F76</f>
        <v>0</v>
      </c>
      <c r="I48" s="269" t="n">
        <f aca="false">Debt!G42+Debt!G59+Debt!G76</f>
        <v>0</v>
      </c>
      <c r="J48" s="269" t="n">
        <f aca="false">Debt!H42+Debt!H59+Debt!H76</f>
        <v>0</v>
      </c>
      <c r="K48" s="269" t="n">
        <f aca="false">Debt!I42+Debt!I59+Debt!I76</f>
        <v>0</v>
      </c>
      <c r="L48" s="269" t="n">
        <f aca="false">Debt!J42+Debt!J59+Debt!J76</f>
        <v>0</v>
      </c>
      <c r="M48" s="269" t="n">
        <f aca="false">Debt!K42+Debt!K59+Debt!K76</f>
        <v>0</v>
      </c>
      <c r="N48" s="269" t="n">
        <f aca="false">Debt!L42+Debt!L59+Debt!L76</f>
        <v>0</v>
      </c>
      <c r="O48" s="269" t="n">
        <f aca="false">Debt!M42+Debt!M59+Debt!M76</f>
        <v>0</v>
      </c>
      <c r="P48" s="269" t="n">
        <f aca="false">Debt!N42+Debt!N59+Debt!N76</f>
        <v>0</v>
      </c>
      <c r="Q48" s="269" t="n">
        <f aca="false">Debt!O42+Debt!O59+Debt!O76</f>
        <v>0</v>
      </c>
      <c r="R48" s="269" t="n">
        <f aca="false">Debt!P42+Debt!P59+Debt!P76</f>
        <v>0</v>
      </c>
      <c r="S48" s="269" t="n">
        <f aca="false">Debt!Q42+Debt!Q59+Debt!Q76</f>
        <v>0</v>
      </c>
      <c r="T48" s="269" t="n">
        <f aca="false">Debt!R42+Debt!R59+Debt!R76</f>
        <v>0</v>
      </c>
      <c r="U48" s="269" t="n">
        <f aca="false">Debt!S42+Debt!S59+Debt!S76</f>
        <v>0</v>
      </c>
      <c r="V48" s="269" t="n">
        <f aca="false">Debt!T42+Debt!T59+Debt!T76</f>
        <v>0</v>
      </c>
      <c r="W48" s="269" t="n">
        <f aca="false">Debt!U42+Debt!U59+Debt!U76</f>
        <v>0</v>
      </c>
      <c r="X48" s="269" t="n">
        <f aca="false">Debt!V42+Debt!V59+Debt!V76</f>
        <v>0</v>
      </c>
      <c r="Y48" s="269" t="n">
        <v>0</v>
      </c>
      <c r="Z48" s="270"/>
      <c r="AA48" s="270"/>
    </row>
    <row r="49" customFormat="false" ht="12.75" hidden="false" customHeight="false" outlineLevel="0" collapsed="false">
      <c r="A49" s="84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86"/>
      <c r="AA49" s="286"/>
    </row>
    <row r="50" customFormat="false" ht="12.75" hidden="false" customHeight="false" outlineLevel="0" collapsed="false">
      <c r="A50" s="268" t="s">
        <v>265</v>
      </c>
      <c r="D50" s="292" t="n">
        <f aca="false">D46-D48</f>
        <v>3902.36680373333</v>
      </c>
      <c r="E50" s="292" t="n">
        <f aca="false">E46-E48</f>
        <v>5361.48990903917</v>
      </c>
      <c r="F50" s="292" t="n">
        <f aca="false">F46-F48</f>
        <v>5387.28859830293</v>
      </c>
      <c r="G50" s="292" t="n">
        <f aca="false">G46-G48</f>
        <v>16742.9911500404</v>
      </c>
      <c r="H50" s="292" t="n">
        <f aca="false">H46-H48</f>
        <v>28814.9762180378</v>
      </c>
      <c r="I50" s="292" t="n">
        <f aca="false">I46-I48</f>
        <v>29285.3998284335</v>
      </c>
      <c r="J50" s="292" t="n">
        <f aca="false">J46-J48</f>
        <v>29752.0846429622</v>
      </c>
      <c r="K50" s="292" t="n">
        <f aca="false">K46-K48</f>
        <v>30219.8324625121</v>
      </c>
      <c r="L50" s="292" t="n">
        <f aca="false">L46-L48</f>
        <v>31318.5089548153</v>
      </c>
      <c r="M50" s="292" t="n">
        <f aca="false">M46-M48</f>
        <v>31794.4266141835</v>
      </c>
      <c r="N50" s="292" t="n">
        <f aca="false">N46-N48</f>
        <v>32944.499916696</v>
      </c>
      <c r="O50" s="292" t="n">
        <f aca="false">O46-O48</f>
        <v>32647.2718092386</v>
      </c>
      <c r="P50" s="292" t="n">
        <f aca="false">P46-P48</f>
        <v>33904.5664693318</v>
      </c>
      <c r="Q50" s="292" t="n">
        <f aca="false">Q46-Q48</f>
        <v>34475.5510139091</v>
      </c>
      <c r="R50" s="292" t="n">
        <f aca="false">R46-R48</f>
        <v>35037.5666320561</v>
      </c>
      <c r="S50" s="292" t="n">
        <f aca="false">S46-S48</f>
        <v>35588.9687564727</v>
      </c>
      <c r="T50" s="292" t="n">
        <f aca="false">T46-T48</f>
        <v>36160.2085447426</v>
      </c>
      <c r="U50" s="292" t="n">
        <f aca="false">U46-U48</f>
        <v>36731.4210905319</v>
      </c>
      <c r="V50" s="292" t="n">
        <f aca="false">V46-V48</f>
        <v>37280.4518812672</v>
      </c>
      <c r="W50" s="292" t="n">
        <f aca="false">W46-W48</f>
        <v>37698.7654320479</v>
      </c>
      <c r="X50" s="292" t="n">
        <f aca="false">X46-X48</f>
        <v>38032.3480828426</v>
      </c>
      <c r="Y50" s="292" t="n">
        <f aca="false">Y46-Y48</f>
        <v>38585.2074928538</v>
      </c>
      <c r="Z50" s="293"/>
      <c r="AA50" s="293"/>
    </row>
    <row r="51" customFormat="false" ht="12.75" hidden="false" customHeight="false" outlineLevel="0" collapsed="false">
      <c r="A51" s="268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3"/>
      <c r="AA51" s="293"/>
    </row>
    <row r="52" customFormat="false" ht="12.75" hidden="false" customHeight="false" outlineLevel="0" collapsed="false">
      <c r="A52" s="272" t="s">
        <v>266</v>
      </c>
      <c r="B52" s="294" t="n">
        <f aca="false">Assumptions!N23</f>
        <v>0.06</v>
      </c>
      <c r="C52" s="279"/>
      <c r="D52" s="279" t="n">
        <f aca="false">-D50*$B$52</f>
        <v>-234.142008224</v>
      </c>
      <c r="E52" s="279" t="n">
        <f aca="false">-E50*$B$52</f>
        <v>-321.68939454235</v>
      </c>
      <c r="F52" s="279" t="n">
        <f aca="false">-F50*$B$52</f>
        <v>-323.237315898176</v>
      </c>
      <c r="G52" s="279" t="n">
        <f aca="false">-G50*$B$52</f>
        <v>-1004.57946900242</v>
      </c>
      <c r="H52" s="279" t="n">
        <f aca="false">-H50*$B$52</f>
        <v>-1728.89857308227</v>
      </c>
      <c r="I52" s="279" t="n">
        <f aca="false">-I50*$B$52</f>
        <v>-1757.12398970601</v>
      </c>
      <c r="J52" s="279" t="n">
        <f aca="false">-J50*$B$52</f>
        <v>-1785.12507857773</v>
      </c>
      <c r="K52" s="279" t="n">
        <f aca="false">-K50*$B$52</f>
        <v>-1813.18994775072</v>
      </c>
      <c r="L52" s="279" t="n">
        <f aca="false">-L50*$B$52</f>
        <v>-1879.11053728892</v>
      </c>
      <c r="M52" s="279" t="n">
        <f aca="false">-M50*$B$52</f>
        <v>-1907.66559685101</v>
      </c>
      <c r="N52" s="279" t="n">
        <f aca="false">-N50*$B$52</f>
        <v>-1976.66999500176</v>
      </c>
      <c r="O52" s="279" t="n">
        <f aca="false">-O50*$B$52</f>
        <v>-1958.83630855431</v>
      </c>
      <c r="P52" s="279" t="n">
        <f aca="false">-P50*$B$52</f>
        <v>-2034.27398815991</v>
      </c>
      <c r="Q52" s="279" t="n">
        <f aca="false">-Q50*$B$52</f>
        <v>-2068.53306083455</v>
      </c>
      <c r="R52" s="279" t="n">
        <f aca="false">-R50*$B$52</f>
        <v>-2102.25399792337</v>
      </c>
      <c r="S52" s="279" t="n">
        <f aca="false">-S50*$B$52</f>
        <v>-2135.33812538836</v>
      </c>
      <c r="T52" s="279" t="n">
        <f aca="false">-T50*$B$52</f>
        <v>-2169.61251268455</v>
      </c>
      <c r="U52" s="279" t="n">
        <f aca="false">-U50*$B$52</f>
        <v>-2203.88526543191</v>
      </c>
      <c r="V52" s="279" t="n">
        <f aca="false">-V50*$B$52</f>
        <v>-2236.82711287603</v>
      </c>
      <c r="W52" s="279" t="n">
        <f aca="false">-W50*$B$52</f>
        <v>-2261.92592592287</v>
      </c>
      <c r="X52" s="279" t="n">
        <f aca="false">-X50*$B$52</f>
        <v>-2281.94088497056</v>
      </c>
      <c r="Y52" s="279" t="n">
        <f aca="false">-Y50*$B$52</f>
        <v>-2315.11244957123</v>
      </c>
      <c r="Z52" s="280"/>
      <c r="AA52" s="280"/>
    </row>
    <row r="53" customFormat="false" ht="12.75" hidden="false" customHeight="false" outlineLevel="0" collapsed="false">
      <c r="A53" s="272" t="s">
        <v>267</v>
      </c>
      <c r="B53" s="294" t="n">
        <f aca="false">Assumptions!N22</f>
        <v>0.35</v>
      </c>
      <c r="C53" s="279"/>
      <c r="D53" s="279" t="n">
        <f aca="false">(D50+D52)*-$B$53</f>
        <v>-1283.87867842827</v>
      </c>
      <c r="E53" s="279" t="n">
        <f aca="false">(E50+E52)*-$B$53</f>
        <v>-1763.93018007389</v>
      </c>
      <c r="F53" s="279" t="n">
        <f aca="false">(F50+F52)*-$B$53</f>
        <v>-1772.41794884166</v>
      </c>
      <c r="G53" s="279" t="n">
        <f aca="false">(G50+G52)*-$B$53</f>
        <v>-5508.44408836328</v>
      </c>
      <c r="H53" s="279" t="n">
        <f aca="false">(H50+H52)*-$B$53</f>
        <v>-9480.12717573444</v>
      </c>
      <c r="I53" s="279" t="n">
        <f aca="false">(I50+I52)*-$B$53</f>
        <v>-9634.89654355462</v>
      </c>
      <c r="J53" s="279" t="n">
        <f aca="false">(J50+J52)*-$B$53</f>
        <v>-9788.43584753457</v>
      </c>
      <c r="K53" s="279" t="n">
        <f aca="false">(K50+K52)*-$B$53</f>
        <v>-9942.32488016647</v>
      </c>
      <c r="L53" s="279" t="n">
        <f aca="false">(L50+L52)*-$B$53</f>
        <v>-10303.7894461342</v>
      </c>
      <c r="M53" s="279" t="n">
        <f aca="false">(M50+M52)*-$B$53</f>
        <v>-10460.3663560664</v>
      </c>
      <c r="N53" s="279" t="n">
        <f aca="false">(N50+N52)*-$B$53</f>
        <v>-10838.740472593</v>
      </c>
      <c r="O53" s="279" t="n">
        <f aca="false">(O50+O52)*-$B$53</f>
        <v>-10740.9524252395</v>
      </c>
      <c r="P53" s="279" t="n">
        <f aca="false">(P50+P52)*-$B$53</f>
        <v>-11154.6023684102</v>
      </c>
      <c r="Q53" s="279" t="n">
        <f aca="false">(Q50+Q52)*-$B$53</f>
        <v>-11342.4562835761</v>
      </c>
      <c r="R53" s="279" t="n">
        <f aca="false">(R50+R52)*-$B$53</f>
        <v>-11527.3594219465</v>
      </c>
      <c r="S53" s="279" t="n">
        <f aca="false">(S50+S52)*-$B$53</f>
        <v>-11708.7707208795</v>
      </c>
      <c r="T53" s="279" t="n">
        <f aca="false">(T50+T52)*-$B$53</f>
        <v>-11896.7086112203</v>
      </c>
      <c r="U53" s="279" t="n">
        <f aca="false">(U50+U52)*-$B$53</f>
        <v>-12084.637538785</v>
      </c>
      <c r="V53" s="279" t="n">
        <f aca="false">(V50+V52)*-$B$53</f>
        <v>-12265.2686689369</v>
      </c>
      <c r="W53" s="279" t="n">
        <f aca="false">(W50+W52)*-$B$53</f>
        <v>-12402.8938271438</v>
      </c>
      <c r="X53" s="279" t="n">
        <f aca="false">(X50+X52)*-$B$53</f>
        <v>-12512.6425192552</v>
      </c>
      <c r="Y53" s="279" t="n">
        <f aca="false">(Y50+Y52)*-$B$53</f>
        <v>-12694.5332651489</v>
      </c>
      <c r="Z53" s="280"/>
      <c r="AA53" s="280"/>
    </row>
    <row r="54" customFormat="false" ht="12.75" hidden="false" customHeight="false" outlineLevel="0" collapsed="false">
      <c r="A54" s="84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70"/>
      <c r="AA54" s="270"/>
    </row>
    <row r="55" customFormat="false" ht="15.75" hidden="false" customHeight="false" outlineLevel="0" collapsed="false">
      <c r="A55" s="295" t="s">
        <v>268</v>
      </c>
      <c r="B55" s="296"/>
      <c r="C55" s="296"/>
      <c r="D55" s="297" t="n">
        <f aca="false">D50+D52+D53</f>
        <v>2384.34611708107</v>
      </c>
      <c r="E55" s="297" t="n">
        <f aca="false">E50+E52+E53</f>
        <v>3275.87033442294</v>
      </c>
      <c r="F55" s="297" t="n">
        <f aca="false">F50+F52+F53</f>
        <v>3291.63333356309</v>
      </c>
      <c r="G55" s="297" t="n">
        <f aca="false">G50+G52+G53</f>
        <v>10229.9675926747</v>
      </c>
      <c r="H55" s="297" t="n">
        <f aca="false">H50+H52+H53</f>
        <v>17605.9504692211</v>
      </c>
      <c r="I55" s="297" t="n">
        <f aca="false">I50+I52+I53</f>
        <v>17893.3792951729</v>
      </c>
      <c r="J55" s="297" t="n">
        <f aca="false">J50+J52+J53</f>
        <v>18178.5237168499</v>
      </c>
      <c r="K55" s="297" t="n">
        <f aca="false">K50+K52+K53</f>
        <v>18464.3176345949</v>
      </c>
      <c r="L55" s="297" t="n">
        <f aca="false">L50+L52+L53</f>
        <v>19135.6089713922</v>
      </c>
      <c r="M55" s="297" t="n">
        <f aca="false">M50+M52+M53</f>
        <v>19426.3946612661</v>
      </c>
      <c r="N55" s="297" t="n">
        <f aca="false">N50+N52+N53</f>
        <v>20129.0894491012</v>
      </c>
      <c r="O55" s="297" t="n">
        <f aca="false">O50+O52+O53</f>
        <v>19947.4830754448</v>
      </c>
      <c r="P55" s="297" t="n">
        <f aca="false">P50+P52+P53</f>
        <v>20715.6901127618</v>
      </c>
      <c r="Q55" s="297" t="n">
        <f aca="false">Q50+Q52+Q53</f>
        <v>21064.5616694985</v>
      </c>
      <c r="R55" s="297" t="n">
        <f aca="false">R50+R52+R53</f>
        <v>21407.9532121863</v>
      </c>
      <c r="S55" s="297" t="n">
        <f aca="false">S50+S52+S53</f>
        <v>21744.8599102048</v>
      </c>
      <c r="T55" s="297" t="n">
        <f aca="false">T50+T52+T53</f>
        <v>22093.8874208377</v>
      </c>
      <c r="U55" s="297" t="n">
        <f aca="false">U50+U52+U53</f>
        <v>22442.898286315</v>
      </c>
      <c r="V55" s="297" t="n">
        <f aca="false">V50+V52+V53</f>
        <v>22778.3560994543</v>
      </c>
      <c r="W55" s="297" t="n">
        <f aca="false">W50+W52+W53</f>
        <v>23033.9456789813</v>
      </c>
      <c r="X55" s="297" t="n">
        <f aca="false">X50+X52+X53</f>
        <v>23237.7646786168</v>
      </c>
      <c r="Y55" s="297" t="n">
        <f aca="false">Y50+Y52+Y53</f>
        <v>23575.5617781337</v>
      </c>
      <c r="Z55" s="298"/>
      <c r="AA55" s="298"/>
    </row>
    <row r="57" customFormat="false" ht="12.75" hidden="false" customHeight="false" outlineLevel="0" collapsed="false">
      <c r="C57" s="261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</row>
    <row r="58" customFormat="false" ht="12.75" hidden="false" customHeight="false" outlineLevel="0" collapsed="false">
      <c r="C58" s="261"/>
      <c r="D58" s="299"/>
      <c r="E58" s="299"/>
      <c r="F58" s="299"/>
      <c r="G58" s="299"/>
      <c r="H58" s="299"/>
    </row>
    <row r="59" customFormat="false" ht="12.75" hidden="false" customHeight="false" outlineLevel="0" collapsed="false">
      <c r="C59" s="261"/>
      <c r="D59" s="299"/>
      <c r="E59" s="299"/>
      <c r="F59" s="299"/>
      <c r="G59" s="299"/>
      <c r="H59" s="299"/>
    </row>
    <row r="60" customFormat="false" ht="12.75" hidden="false" customHeight="false" outlineLevel="0" collapsed="false">
      <c r="C60" s="261"/>
      <c r="D60" s="299"/>
      <c r="E60" s="299"/>
      <c r="F60" s="299"/>
      <c r="G60" s="299"/>
      <c r="H60" s="299"/>
    </row>
    <row r="61" customFormat="false" ht="12.75" hidden="false" customHeight="false" outlineLevel="0" collapsed="false">
      <c r="C61" s="261"/>
      <c r="D61" s="261"/>
      <c r="E61" s="261"/>
      <c r="F61" s="261"/>
      <c r="G61" s="261"/>
      <c r="H61" s="261"/>
    </row>
    <row r="62" customFormat="false" ht="12.75" hidden="false" customHeight="false" outlineLevel="0" collapsed="false">
      <c r="C62" s="300"/>
      <c r="D62" s="299"/>
      <c r="E62" s="299"/>
      <c r="F62" s="299"/>
      <c r="G62" s="299"/>
      <c r="H62" s="299"/>
    </row>
    <row r="63" customFormat="false" ht="12.75" hidden="false" customHeight="false" outlineLevel="0" collapsed="false">
      <c r="C63" s="300"/>
      <c r="D63" s="299"/>
      <c r="E63" s="299"/>
      <c r="F63" s="299"/>
      <c r="G63" s="299"/>
      <c r="H63" s="299"/>
    </row>
    <row r="64" customFormat="false" ht="12.75" hidden="false" customHeight="false" outlineLevel="0" collapsed="false">
      <c r="C64" s="300"/>
      <c r="D64" s="299"/>
      <c r="E64" s="299"/>
      <c r="F64" s="299"/>
      <c r="G64" s="299"/>
      <c r="H64" s="299"/>
    </row>
    <row r="65" customFormat="false" ht="12.75" hidden="false" customHeight="false" outlineLevel="0" collapsed="false">
      <c r="C65" s="300"/>
      <c r="D65" s="299"/>
      <c r="E65" s="299"/>
      <c r="F65" s="299"/>
      <c r="G65" s="299"/>
      <c r="H65" s="299"/>
    </row>
    <row r="66" customFormat="false" ht="12.75" hidden="false" customHeight="false" outlineLevel="0" collapsed="false">
      <c r="C66" s="300"/>
      <c r="D66" s="299"/>
      <c r="E66" s="299"/>
      <c r="F66" s="299"/>
      <c r="G66" s="299"/>
      <c r="H66" s="299"/>
    </row>
    <row r="67" customFormat="false" ht="12.75" hidden="false" customHeight="false" outlineLevel="0" collapsed="false">
      <c r="C67" s="261"/>
      <c r="D67" s="261"/>
      <c r="E67" s="261"/>
      <c r="F67" s="261"/>
      <c r="G67" s="261"/>
      <c r="H67" s="261"/>
    </row>
    <row r="68" customFormat="false" ht="12.75" hidden="false" customHeight="false" outlineLevel="0" collapsed="false">
      <c r="C68" s="261"/>
      <c r="D68" s="261"/>
      <c r="E68" s="261"/>
      <c r="F68" s="261"/>
      <c r="G68" s="261"/>
      <c r="H68" s="261"/>
    </row>
    <row r="69" customFormat="false" ht="12.75" hidden="false" customHeight="false" outlineLevel="0" collapsed="false">
      <c r="C69" s="261"/>
      <c r="D69" s="270"/>
      <c r="E69" s="270"/>
      <c r="F69" s="270"/>
      <c r="G69" s="270"/>
      <c r="H69" s="261"/>
    </row>
    <row r="70" customFormat="false" ht="12.75" hidden="false" customHeight="false" outlineLevel="0" collapsed="false">
      <c r="C70" s="261"/>
      <c r="D70" s="261"/>
      <c r="E70" s="261"/>
      <c r="F70" s="261"/>
      <c r="G70" s="261"/>
      <c r="H70" s="261"/>
    </row>
    <row r="71" customFormat="false" ht="12.75" hidden="false" customHeight="false" outlineLevel="0" collapsed="false">
      <c r="C71" s="261"/>
      <c r="D71" s="270"/>
      <c r="E71" s="261"/>
      <c r="F71" s="261"/>
      <c r="G71" s="261"/>
      <c r="H71" s="261"/>
    </row>
    <row r="72" customFormat="false" ht="12.75" hidden="false" customHeight="false" outlineLevel="0" collapsed="false">
      <c r="C72" s="261"/>
      <c r="D72" s="261"/>
      <c r="E72" s="261"/>
      <c r="F72" s="261"/>
      <c r="G72" s="261"/>
      <c r="H72" s="261"/>
    </row>
    <row r="73" customFormat="false" ht="12.75" hidden="false" customHeight="false" outlineLevel="0" collapsed="false">
      <c r="C73" s="261"/>
      <c r="D73" s="261"/>
      <c r="E73" s="261"/>
      <c r="F73" s="261"/>
      <c r="G73" s="261"/>
      <c r="H73" s="2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81"/>
  <sheetViews>
    <sheetView showFormulas="false" showGridLines="true" showRowColHeaders="true" showZeros="true" rightToLeft="false" tabSelected="false" showOutlineSymbols="true" defaultGridColor="true" view="normal" topLeftCell="A25" colorId="64" zoomScale="75" zoomScaleNormal="75" zoomScalePageLayoutView="100" workbookViewId="0">
      <selection pane="topLeft" activeCell="D47" activeCellId="0" sqref="D47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12.99"/>
    <col collapsed="false" customWidth="true" hidden="false" outlineLevel="0" max="3" min="3" style="1" width="6.56"/>
    <col collapsed="false" customWidth="true" hidden="false" outlineLevel="0" max="4" min="4" style="1" width="14.14"/>
    <col collapsed="false" customWidth="true" hidden="false" outlineLevel="0" max="5" min="5" style="1" width="11.56"/>
    <col collapsed="false" customWidth="true" hidden="false" outlineLevel="0" max="8" min="6" style="1" width="11.13"/>
    <col collapsed="false" customWidth="true" hidden="false" outlineLevel="0" max="10" min="9" style="1" width="11.99"/>
    <col collapsed="false" customWidth="true" hidden="false" outlineLevel="0" max="11" min="11" style="1" width="12.7"/>
    <col collapsed="false" customWidth="true" hidden="false" outlineLevel="0" max="12" min="12" style="1" width="12.56"/>
    <col collapsed="false" customWidth="true" hidden="false" outlineLevel="0" max="13" min="13" style="1" width="12.7"/>
    <col collapsed="false" customWidth="true" hidden="false" outlineLevel="0" max="16" min="14" style="1" width="11.28"/>
    <col collapsed="false" customWidth="true" hidden="false" outlineLevel="0" max="17" min="17" style="1" width="11.85"/>
    <col collapsed="false" customWidth="true" hidden="false" outlineLevel="0" max="18" min="18" style="1" width="11.13"/>
    <col collapsed="false" customWidth="true" hidden="false" outlineLevel="0" max="19" min="19" style="1" width="11.85"/>
    <col collapsed="false" customWidth="true" hidden="false" outlineLevel="0" max="20" min="20" style="1" width="11.13"/>
    <col collapsed="false" customWidth="true" hidden="false" outlineLevel="0" max="21" min="21" style="1" width="11.56"/>
    <col collapsed="false" customWidth="true" hidden="false" outlineLevel="0" max="22" min="22" style="1" width="11.28"/>
    <col collapsed="false" customWidth="true" hidden="false" outlineLevel="0" max="23" min="23" style="1" width="11.56"/>
    <col collapsed="false" customWidth="true" hidden="false" outlineLevel="0" max="24" min="24" style="1" width="12.7"/>
    <col collapsed="false" customWidth="true" hidden="false" outlineLevel="0" max="25" min="25" style="1" width="12.56"/>
    <col collapsed="false" customWidth="true" hidden="false" outlineLevel="0" max="26" min="26" style="274" width="12.28"/>
    <col collapsed="false" customWidth="true" hidden="false" outlineLevel="0" max="27" min="27" style="274" width="13.85"/>
    <col collapsed="false" customWidth="true" hidden="false" outlineLevel="0" max="29" min="28" style="1" width="9.85"/>
    <col collapsed="false" customWidth="false" hidden="false" outlineLevel="0" max="30" min="30" style="1" width="9.14"/>
    <col collapsed="false" customWidth="true" hidden="false" outlineLevel="0" max="31" min="31" style="1" width="9.41"/>
    <col collapsed="false" customWidth="true" hidden="false" outlineLevel="0" max="32" min="32" style="1" width="9.85"/>
    <col collapsed="false" customWidth="false" hidden="false" outlineLevel="0" max="33" min="33" style="1" width="9.14"/>
    <col collapsed="false" customWidth="true" hidden="false" outlineLevel="0" max="34" min="34" style="1" width="9.41"/>
    <col collapsed="false" customWidth="true" hidden="false" outlineLevel="0" max="36" min="35" style="1" width="9.85"/>
    <col collapsed="false" customWidth="false" hidden="false" outlineLevel="0" max="38" min="37" style="1" width="9.14"/>
    <col collapsed="false" customWidth="true" hidden="false" outlineLevel="0" max="40" min="39" style="1" width="9.85"/>
    <col collapsed="false" customWidth="false" hidden="false" outlineLevel="0" max="82" min="41" style="1" width="9.14"/>
    <col collapsed="false" customWidth="true" hidden="false" outlineLevel="0" max="84" min="83" style="1" width="9.85"/>
    <col collapsed="false" customWidth="false" hidden="false" outlineLevel="0" max="257" min="85" style="1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62" t="s">
        <v>269</v>
      </c>
      <c r="B4" s="301"/>
    </row>
    <row r="7" customFormat="false" ht="18.75" hidden="false" customHeight="false" outlineLevel="0" collapsed="false">
      <c r="A7" s="6" t="s">
        <v>270</v>
      </c>
      <c r="B7" s="302"/>
    </row>
    <row r="8" customFormat="false" ht="12.75" hidden="false" customHeight="false" outlineLevel="0" collapsed="false">
      <c r="D8" s="303" t="n">
        <f aca="false">'Power Price Assumption'!F9</f>
        <v>0.5</v>
      </c>
      <c r="E8" s="303" t="n">
        <f aca="false">'Power Price Assumption'!G9</f>
        <v>1.5</v>
      </c>
      <c r="F8" s="303" t="n">
        <f aca="false">'Power Price Assumption'!H9</f>
        <v>2.5</v>
      </c>
      <c r="G8" s="303" t="n">
        <f aca="false">'Power Price Assumption'!I9</f>
        <v>3.5</v>
      </c>
      <c r="H8" s="303" t="n">
        <f aca="false">'Power Price Assumption'!J9</f>
        <v>4.5</v>
      </c>
      <c r="I8" s="303" t="n">
        <f aca="false">'Power Price Assumption'!K9</f>
        <v>5.5</v>
      </c>
      <c r="J8" s="303" t="n">
        <f aca="false">'Power Price Assumption'!L9</f>
        <v>6.5</v>
      </c>
      <c r="K8" s="303" t="n">
        <f aca="false">'Power Price Assumption'!M9</f>
        <v>7.5</v>
      </c>
      <c r="L8" s="303" t="n">
        <f aca="false">'Power Price Assumption'!N9</f>
        <v>8.5</v>
      </c>
      <c r="M8" s="303" t="n">
        <f aca="false">'Power Price Assumption'!O9</f>
        <v>9.5</v>
      </c>
      <c r="N8" s="303" t="n">
        <f aca="false">'Power Price Assumption'!P9</f>
        <v>10.5</v>
      </c>
      <c r="O8" s="303" t="n">
        <f aca="false">'Power Price Assumption'!Q9</f>
        <v>11.5</v>
      </c>
      <c r="P8" s="303" t="n">
        <f aca="false">'Power Price Assumption'!R9</f>
        <v>12.5</v>
      </c>
      <c r="Q8" s="303" t="n">
        <f aca="false">'Power Price Assumption'!S9</f>
        <v>13.5</v>
      </c>
      <c r="R8" s="303" t="n">
        <f aca="false">'Power Price Assumption'!T9</f>
        <v>14.5</v>
      </c>
      <c r="S8" s="303" t="n">
        <f aca="false">'Power Price Assumption'!U9</f>
        <v>15.5</v>
      </c>
      <c r="T8" s="303" t="n">
        <f aca="false">'Power Price Assumption'!V9</f>
        <v>16.5</v>
      </c>
      <c r="U8" s="303" t="n">
        <f aca="false">'Power Price Assumption'!W9</f>
        <v>17.5</v>
      </c>
      <c r="V8" s="303" t="n">
        <f aca="false">'Power Price Assumption'!X9</f>
        <v>18.5</v>
      </c>
      <c r="W8" s="303" t="n">
        <f aca="false">'Power Price Assumption'!Y9</f>
        <v>19.5</v>
      </c>
      <c r="X8" s="303" t="n">
        <f aca="false">'Power Price Assumption'!Z9</f>
        <v>20.5</v>
      </c>
      <c r="Y8" s="303" t="n">
        <f aca="false">'Power Price Assumption'!AA9</f>
        <v>21.5</v>
      </c>
      <c r="Z8" s="304"/>
    </row>
    <row r="9" customFormat="false" ht="13.5" hidden="false" customHeight="false" outlineLevel="1" collapsed="false">
      <c r="A9" s="264" t="s">
        <v>241</v>
      </c>
      <c r="B9" s="264"/>
      <c r="C9" s="305"/>
      <c r="D9" s="265" t="n">
        <f aca="false">'Power Price Assumption'!F10</f>
        <v>2002</v>
      </c>
      <c r="E9" s="265" t="n">
        <f aca="false">'Power Price Assumption'!G10</f>
        <v>2003</v>
      </c>
      <c r="F9" s="265" t="n">
        <f aca="false">'Power Price Assumption'!H10</f>
        <v>2004</v>
      </c>
      <c r="G9" s="265" t="n">
        <f aca="false">'Power Price Assumption'!I10</f>
        <v>2005</v>
      </c>
      <c r="H9" s="265" t="n">
        <f aca="false">'Power Price Assumption'!J10</f>
        <v>2006</v>
      </c>
      <c r="I9" s="265" t="n">
        <f aca="false">'Power Price Assumption'!K10</f>
        <v>2007</v>
      </c>
      <c r="J9" s="265" t="n">
        <f aca="false">'Power Price Assumption'!L10</f>
        <v>2008</v>
      </c>
      <c r="K9" s="265" t="n">
        <f aca="false">'Power Price Assumption'!M10</f>
        <v>2009</v>
      </c>
      <c r="L9" s="265" t="n">
        <f aca="false">'Power Price Assumption'!N10</f>
        <v>2010</v>
      </c>
      <c r="M9" s="265" t="n">
        <f aca="false">'Power Price Assumption'!O10</f>
        <v>2011</v>
      </c>
      <c r="N9" s="265" t="n">
        <f aca="false">'Power Price Assumption'!P10</f>
        <v>2012</v>
      </c>
      <c r="O9" s="265" t="n">
        <f aca="false">'Power Price Assumption'!Q10</f>
        <v>2013</v>
      </c>
      <c r="P9" s="265" t="n">
        <f aca="false">'Power Price Assumption'!R10</f>
        <v>2014</v>
      </c>
      <c r="Q9" s="265" t="n">
        <f aca="false">'Power Price Assumption'!S10</f>
        <v>2015</v>
      </c>
      <c r="R9" s="265" t="n">
        <f aca="false">'Power Price Assumption'!T10</f>
        <v>2016</v>
      </c>
      <c r="S9" s="265" t="n">
        <f aca="false">'Power Price Assumption'!U10</f>
        <v>2017</v>
      </c>
      <c r="T9" s="265" t="n">
        <f aca="false">'Power Price Assumption'!V10</f>
        <v>2018</v>
      </c>
      <c r="U9" s="265" t="n">
        <f aca="false">'Power Price Assumption'!W10</f>
        <v>2019</v>
      </c>
      <c r="V9" s="265" t="n">
        <f aca="false">'Power Price Assumption'!X10</f>
        <v>2020</v>
      </c>
      <c r="W9" s="265" t="n">
        <f aca="false">'Power Price Assumption'!Y10</f>
        <v>2021</v>
      </c>
      <c r="X9" s="265" t="n">
        <f aca="false">'Power Price Assumption'!Z10</f>
        <v>2022</v>
      </c>
      <c r="Y9" s="265" t="n">
        <f aca="false">'Power Price Assumption'!AA10</f>
        <v>2023</v>
      </c>
      <c r="Z9" s="266"/>
    </row>
    <row r="10" customFormat="false" ht="12.75" hidden="false" customHeight="false" outlineLevel="1" collapsed="false">
      <c r="A10" s="306"/>
      <c r="B10" s="306"/>
      <c r="C10" s="26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266"/>
    </row>
    <row r="11" customFormat="false" ht="12.75" hidden="false" customHeight="false" outlineLevel="1" collapsed="false">
      <c r="A11" s="267"/>
      <c r="B11" s="267"/>
      <c r="C11" s="267"/>
      <c r="D11" s="266"/>
      <c r="E11" s="266"/>
      <c r="F11" s="266"/>
      <c r="G11" s="266"/>
      <c r="H11" s="266"/>
      <c r="I11" s="266"/>
      <c r="J11" s="308"/>
      <c r="K11" s="308"/>
      <c r="L11" s="309"/>
      <c r="M11" s="309"/>
      <c r="N11" s="308"/>
      <c r="O11" s="308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</row>
    <row r="12" customFormat="false" ht="12.75" hidden="false" customHeight="false" outlineLevel="0" collapsed="false">
      <c r="A12" s="310" t="s">
        <v>261</v>
      </c>
      <c r="B12" s="311"/>
      <c r="D12" s="181" t="n">
        <f aca="false">IS!D42</f>
        <v>5396.63680373333</v>
      </c>
      <c r="E12" s="312" t="n">
        <f aca="false">IS!E42</f>
        <v>9844.29990903917</v>
      </c>
      <c r="F12" s="312" t="n">
        <f aca="false">IS!F42</f>
        <v>9870.09859830293</v>
      </c>
      <c r="G12" s="312" t="n">
        <f aca="false">IS!G42</f>
        <v>21225.8011500404</v>
      </c>
      <c r="H12" s="312" t="n">
        <f aca="false">IS!H42</f>
        <v>33297.7862180378</v>
      </c>
      <c r="I12" s="312" t="n">
        <f aca="false">IS!I42</f>
        <v>33768.2098284335</v>
      </c>
      <c r="J12" s="312" t="n">
        <f aca="false">IS!J42</f>
        <v>34234.8946429622</v>
      </c>
      <c r="K12" s="312" t="n">
        <f aca="false">IS!K42</f>
        <v>34702.6424625121</v>
      </c>
      <c r="L12" s="312" t="n">
        <f aca="false">IS!L42</f>
        <v>35801.3189548153</v>
      </c>
      <c r="M12" s="312" t="n">
        <f aca="false">IS!M42</f>
        <v>36277.2366141835</v>
      </c>
      <c r="N12" s="312" t="n">
        <f aca="false">IS!N42</f>
        <v>37427.309916696</v>
      </c>
      <c r="O12" s="312" t="n">
        <f aca="false">IS!O42</f>
        <v>37130.0818092386</v>
      </c>
      <c r="P12" s="312" t="n">
        <f aca="false">IS!P42</f>
        <v>38387.3764693318</v>
      </c>
      <c r="Q12" s="312" t="n">
        <f aca="false">IS!Q42</f>
        <v>38958.3610139091</v>
      </c>
      <c r="R12" s="312" t="n">
        <f aca="false">IS!R42</f>
        <v>39520.3766320561</v>
      </c>
      <c r="S12" s="312" t="n">
        <f aca="false">IS!S42</f>
        <v>40071.7787564727</v>
      </c>
      <c r="T12" s="312" t="n">
        <f aca="false">IS!T42</f>
        <v>40643.0185447426</v>
      </c>
      <c r="U12" s="312" t="n">
        <f aca="false">IS!U42</f>
        <v>41214.2310905319</v>
      </c>
      <c r="V12" s="312" t="n">
        <f aca="false">IS!V42</f>
        <v>41763.2618812672</v>
      </c>
      <c r="W12" s="312" t="n">
        <f aca="false">IS!W42</f>
        <v>42181.5754320479</v>
      </c>
      <c r="X12" s="312" t="n">
        <f aca="false">IS!X42</f>
        <v>42515.1580828426</v>
      </c>
      <c r="Y12" s="312" t="n">
        <f aca="false">IS!Y42</f>
        <v>43068.0174928538</v>
      </c>
      <c r="Z12" s="181"/>
      <c r="AA12" s="0"/>
      <c r="AB12" s="0"/>
      <c r="AC12" s="0"/>
    </row>
    <row r="14" customFormat="false" ht="12.75" hidden="false" customHeight="false" outlineLevel="0" collapsed="false">
      <c r="A14" s="311" t="s">
        <v>271</v>
      </c>
      <c r="B14" s="311"/>
      <c r="D14" s="181" t="n">
        <f aca="false">Debt!B85</f>
        <v>0</v>
      </c>
      <c r="E14" s="181" t="n">
        <f aca="false">Debt!C85</f>
        <v>0</v>
      </c>
      <c r="F14" s="181" t="n">
        <f aca="false">Debt!D85</f>
        <v>0</v>
      </c>
      <c r="G14" s="181" t="n">
        <f aca="false">Debt!E85</f>
        <v>0</v>
      </c>
      <c r="H14" s="181" t="n">
        <f aca="false">Debt!F85</f>
        <v>0</v>
      </c>
      <c r="I14" s="181" t="n">
        <f aca="false">Debt!G85</f>
        <v>0</v>
      </c>
      <c r="J14" s="181" t="n">
        <f aca="false">Debt!H85</f>
        <v>0</v>
      </c>
      <c r="K14" s="181" t="n">
        <f aca="false">Debt!I85</f>
        <v>0</v>
      </c>
      <c r="L14" s="181" t="n">
        <f aca="false">Debt!J85</f>
        <v>0</v>
      </c>
      <c r="M14" s="181" t="n">
        <f aca="false">Debt!K85</f>
        <v>0</v>
      </c>
      <c r="N14" s="181" t="n">
        <f aca="false">Debt!L85</f>
        <v>0</v>
      </c>
      <c r="O14" s="181" t="n">
        <f aca="false">Debt!M85</f>
        <v>0</v>
      </c>
      <c r="P14" s="181" t="n">
        <f aca="false">Debt!N85</f>
        <v>0</v>
      </c>
      <c r="Q14" s="181" t="n">
        <f aca="false">Debt!O85</f>
        <v>0</v>
      </c>
      <c r="R14" s="181" t="n">
        <f aca="false">Debt!P85</f>
        <v>0</v>
      </c>
      <c r="S14" s="181" t="n">
        <f aca="false">Debt!Q85</f>
        <v>0</v>
      </c>
      <c r="T14" s="181" t="n">
        <f aca="false">Debt!R85</f>
        <v>0</v>
      </c>
      <c r="U14" s="181" t="n">
        <f aca="false">Debt!S85</f>
        <v>0</v>
      </c>
      <c r="V14" s="181" t="n">
        <f aca="false">Debt!T85</f>
        <v>0</v>
      </c>
      <c r="W14" s="181" t="n">
        <f aca="false">Debt!U85</f>
        <v>0</v>
      </c>
      <c r="X14" s="181" t="n">
        <f aca="false">Debt!V85</f>
        <v>0</v>
      </c>
      <c r="Y14" s="181" t="n">
        <f aca="false">Debt!W85</f>
        <v>0</v>
      </c>
      <c r="Z14" s="181"/>
      <c r="AA14" s="0"/>
      <c r="AB14" s="0"/>
      <c r="AC14" s="0"/>
    </row>
    <row r="15" customFormat="false" ht="12.75" hidden="false" customHeight="false" outlineLevel="0" collapsed="false">
      <c r="A15" s="311" t="s">
        <v>272</v>
      </c>
      <c r="B15" s="311"/>
      <c r="D15" s="312" t="n">
        <f aca="false">-Debt!B91</f>
        <v>-4000</v>
      </c>
      <c r="E15" s="312" t="n">
        <f aca="false">-Debt!C91</f>
        <v>-4000</v>
      </c>
      <c r="F15" s="312" t="n">
        <f aca="false">-Debt!D91</f>
        <v>-4000</v>
      </c>
      <c r="G15" s="312" t="n">
        <f aca="false">-Debt!E91</f>
        <v>-4000</v>
      </c>
      <c r="H15" s="312" t="n">
        <f aca="false">-Debt!F91</f>
        <v>-4000</v>
      </c>
      <c r="I15" s="312" t="n">
        <f aca="false">-Debt!G91</f>
        <v>-4000</v>
      </c>
      <c r="J15" s="312" t="n">
        <f aca="false">-Debt!H91</f>
        <v>-4000</v>
      </c>
      <c r="K15" s="312" t="n">
        <f aca="false">-Debt!I91</f>
        <v>-4000</v>
      </c>
      <c r="L15" s="312" t="n">
        <f aca="false">-Debt!J91</f>
        <v>-4000</v>
      </c>
      <c r="M15" s="312" t="n">
        <f aca="false">-Debt!K91</f>
        <v>-4000</v>
      </c>
      <c r="N15" s="312" t="n">
        <f aca="false">-Debt!L91</f>
        <v>-4000</v>
      </c>
      <c r="O15" s="312" t="n">
        <f aca="false">-Debt!M91</f>
        <v>-4000</v>
      </c>
      <c r="P15" s="312" t="n">
        <f aca="false">-Debt!N91</f>
        <v>-4000</v>
      </c>
      <c r="Q15" s="312" t="n">
        <f aca="false">-Debt!O91</f>
        <v>-4000</v>
      </c>
      <c r="R15" s="312" t="n">
        <f aca="false">-Debt!P91</f>
        <v>-4000</v>
      </c>
      <c r="S15" s="312" t="n">
        <f aca="false">-Debt!Q91</f>
        <v>-4000</v>
      </c>
      <c r="T15" s="312" t="n">
        <f aca="false">-Debt!R91</f>
        <v>-4000</v>
      </c>
      <c r="U15" s="312" t="n">
        <f aca="false">-Debt!S91</f>
        <v>-4000</v>
      </c>
      <c r="V15" s="312" t="n">
        <f aca="false">-Debt!T91</f>
        <v>-4000</v>
      </c>
      <c r="W15" s="312" t="n">
        <f aca="false">-Debt!U91</f>
        <v>-4000</v>
      </c>
      <c r="X15" s="312" t="n">
        <f aca="false">-Debt!V91</f>
        <v>-0</v>
      </c>
      <c r="Y15" s="312" t="n">
        <f aca="false">-Debt!W91</f>
        <v>-0</v>
      </c>
      <c r="Z15" s="313"/>
      <c r="AA15" s="0"/>
      <c r="AB15" s="0"/>
      <c r="AC15" s="0"/>
    </row>
    <row r="16" customFormat="false" ht="12.75" hidden="false" customHeight="false" outlineLevel="0" collapsed="false">
      <c r="A16" s="311" t="s">
        <v>273</v>
      </c>
      <c r="B16" s="311"/>
      <c r="D16" s="285" t="n">
        <f aca="false">-Debt!B89</f>
        <v>-3200</v>
      </c>
      <c r="E16" s="285" t="n">
        <f aca="false">-Debt!C89</f>
        <v>-6000</v>
      </c>
      <c r="F16" s="285" t="n">
        <f aca="false">-Debt!D89</f>
        <v>-5680</v>
      </c>
      <c r="G16" s="285" t="n">
        <f aca="false">-Debt!E89</f>
        <v>-5360</v>
      </c>
      <c r="H16" s="285" t="n">
        <f aca="false">-Debt!F89</f>
        <v>-5040</v>
      </c>
      <c r="I16" s="285" t="n">
        <f aca="false">-Debt!G89</f>
        <v>-4720</v>
      </c>
      <c r="J16" s="285" t="n">
        <f aca="false">-Debt!H89</f>
        <v>-4400</v>
      </c>
      <c r="K16" s="285" t="n">
        <f aca="false">-Debt!I89</f>
        <v>-4080</v>
      </c>
      <c r="L16" s="285" t="n">
        <f aca="false">-Debt!J89</f>
        <v>-3760</v>
      </c>
      <c r="M16" s="285" t="n">
        <f aca="false">-Debt!K89</f>
        <v>-3440</v>
      </c>
      <c r="N16" s="285" t="n">
        <f aca="false">-Debt!L89</f>
        <v>-3120</v>
      </c>
      <c r="O16" s="285" t="n">
        <f aca="false">-Debt!M89</f>
        <v>-2800</v>
      </c>
      <c r="P16" s="285" t="n">
        <f aca="false">-Debt!N89</f>
        <v>-2480</v>
      </c>
      <c r="Q16" s="285" t="n">
        <f aca="false">-Debt!O89</f>
        <v>-2160</v>
      </c>
      <c r="R16" s="285" t="n">
        <f aca="false">-Debt!P89</f>
        <v>-1840</v>
      </c>
      <c r="S16" s="285" t="n">
        <f aca="false">-Debt!Q89</f>
        <v>-1520</v>
      </c>
      <c r="T16" s="285" t="n">
        <f aca="false">-Debt!R89</f>
        <v>-1200</v>
      </c>
      <c r="U16" s="285" t="n">
        <f aca="false">-Debt!S89</f>
        <v>-880</v>
      </c>
      <c r="V16" s="285" t="n">
        <f aca="false">-Debt!T89</f>
        <v>-560</v>
      </c>
      <c r="W16" s="285" t="n">
        <f aca="false">-Debt!U89</f>
        <v>-240</v>
      </c>
      <c r="X16" s="285" t="n">
        <f aca="false">-Debt!V89</f>
        <v>-0</v>
      </c>
      <c r="Y16" s="285" t="n">
        <f aca="false">-Debt!W89</f>
        <v>-0</v>
      </c>
      <c r="Z16" s="181"/>
      <c r="AA16" s="0"/>
      <c r="AB16" s="0"/>
      <c r="AC16" s="0"/>
    </row>
    <row r="17" customFormat="false" ht="12.75" hidden="false" customHeight="false" outlineLevel="0" collapsed="false">
      <c r="A17" s="311"/>
      <c r="B17" s="311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181"/>
      <c r="AA17" s="0"/>
      <c r="AB17" s="0"/>
      <c r="AC17" s="0"/>
    </row>
    <row r="18" customFormat="false" ht="12.75" hidden="false" customHeight="false" outlineLevel="0" collapsed="false">
      <c r="A18" s="310" t="s">
        <v>274</v>
      </c>
      <c r="B18" s="310"/>
      <c r="D18" s="314" t="n">
        <f aca="false">SUM(D12:D16)</f>
        <v>-1803.36319626667</v>
      </c>
      <c r="E18" s="315" t="n">
        <f aca="false">SUM(E12:E16)</f>
        <v>-155.700090960827</v>
      </c>
      <c r="F18" s="315" t="n">
        <f aca="false">SUM(F12:F16)</f>
        <v>190.098598302926</v>
      </c>
      <c r="G18" s="315" t="n">
        <f aca="false">SUM(G12:G16)</f>
        <v>11865.8011500404</v>
      </c>
      <c r="H18" s="315" t="n">
        <f aca="false">SUM(H12:H16)</f>
        <v>24257.7862180378</v>
      </c>
      <c r="I18" s="315" t="n">
        <f aca="false">SUM(I12:I16)</f>
        <v>25048.2098284335</v>
      </c>
      <c r="J18" s="315" t="n">
        <f aca="false">SUM(J12:J16)</f>
        <v>25834.8946429622</v>
      </c>
      <c r="K18" s="315" t="n">
        <f aca="false">SUM(K12:K16)</f>
        <v>26622.6424625121</v>
      </c>
      <c r="L18" s="315" t="n">
        <f aca="false">SUM(L12:L16)</f>
        <v>28041.3189548153</v>
      </c>
      <c r="M18" s="315" t="n">
        <f aca="false">SUM(M12:M16)</f>
        <v>28837.2366141835</v>
      </c>
      <c r="N18" s="315" t="n">
        <f aca="false">SUM(N12:N16)</f>
        <v>30307.309916696</v>
      </c>
      <c r="O18" s="315" t="n">
        <f aca="false">SUM(O12:O16)</f>
        <v>30330.0818092386</v>
      </c>
      <c r="P18" s="315" t="n">
        <f aca="false">SUM(P12:P16)</f>
        <v>31907.3764693318</v>
      </c>
      <c r="Q18" s="315" t="n">
        <f aca="false">SUM(Q12:Q16)</f>
        <v>32798.3610139091</v>
      </c>
      <c r="R18" s="315" t="n">
        <f aca="false">SUM(R12:R16)</f>
        <v>33680.3766320561</v>
      </c>
      <c r="S18" s="315" t="n">
        <f aca="false">SUM(S12:S16)</f>
        <v>34551.7787564727</v>
      </c>
      <c r="T18" s="315" t="n">
        <f aca="false">SUM(T12:T16)</f>
        <v>35443.0185447426</v>
      </c>
      <c r="U18" s="315" t="n">
        <f aca="false">SUM(U12:U16)</f>
        <v>36334.2310905319</v>
      </c>
      <c r="V18" s="315" t="n">
        <f aca="false">SUM(V12:V16)</f>
        <v>37203.2618812672</v>
      </c>
      <c r="W18" s="315" t="n">
        <f aca="false">SUM(W12:W16)</f>
        <v>37941.5754320479</v>
      </c>
      <c r="X18" s="315" t="n">
        <f aca="false">SUM(X12:X16)</f>
        <v>42515.1580828426</v>
      </c>
      <c r="Y18" s="315" t="n">
        <f aca="false">SUM(Y12:Y16)</f>
        <v>43068.0174928538</v>
      </c>
      <c r="Z18" s="316"/>
      <c r="AA18" s="0"/>
      <c r="AB18" s="0"/>
      <c r="AC18" s="0"/>
    </row>
    <row r="19" customFormat="false" ht="12.75" hidden="false" customHeight="false" outlineLevel="0" collapsed="false">
      <c r="A19" s="310"/>
      <c r="B19" s="310"/>
      <c r="D19" s="181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AA19" s="0"/>
      <c r="AB19" s="0"/>
      <c r="AC19" s="0"/>
    </row>
    <row r="20" customFormat="false" ht="12.75" hidden="false" customHeight="false" outlineLevel="0" collapsed="false">
      <c r="A20" s="272" t="s">
        <v>275</v>
      </c>
      <c r="B20" s="310"/>
      <c r="D20" s="317" t="n">
        <f aca="false">-Tax!D30</f>
        <v>-24.9442082239999</v>
      </c>
      <c r="E20" s="317" t="n">
        <f aca="false">-Tax!E30</f>
        <v>-22.8353945423503</v>
      </c>
      <c r="F20" s="317" t="n">
        <f aca="false">-Tax!F30</f>
        <v>-81.1655758981756</v>
      </c>
      <c r="G20" s="317" t="n">
        <f aca="false">-Tax!G30</f>
        <v>-813.312909002422</v>
      </c>
      <c r="H20" s="317" t="n">
        <f aca="false">-Tax!H30</f>
        <v>-1583.65552908227</v>
      </c>
      <c r="I20" s="317" t="n">
        <f aca="false">-Tax!I30</f>
        <v>-1653.72050570601</v>
      </c>
      <c r="J20" s="317" t="n">
        <f aca="false">-Tax!J30</f>
        <v>-1701.44595857773</v>
      </c>
      <c r="K20" s="317" t="n">
        <f aca="false">-Tax!K30</f>
        <v>-1728.91311975072</v>
      </c>
      <c r="L20" s="317" t="n">
        <f aca="false">-Tax!L30</f>
        <v>-1795.43141728892</v>
      </c>
      <c r="M20" s="317" t="n">
        <f aca="false">-Tax!M30</f>
        <v>-1823.38876885101</v>
      </c>
      <c r="N20" s="317" t="n">
        <f aca="false">-Tax!N30</f>
        <v>-1892.99087500176</v>
      </c>
      <c r="O20" s="317" t="n">
        <f aca="false">-Tax!O30</f>
        <v>-1874.55948055431</v>
      </c>
      <c r="P20" s="317" t="n">
        <f aca="false">-Tax!P30</f>
        <v>-1950.59486815991</v>
      </c>
      <c r="Q20" s="317" t="n">
        <f aca="false">-Tax!Q30</f>
        <v>-1984.25623283455</v>
      </c>
      <c r="R20" s="317" t="n">
        <f aca="false">-Tax!R30</f>
        <v>-2018.57487792337</v>
      </c>
      <c r="S20" s="317" t="n">
        <f aca="false">-Tax!S30</f>
        <v>-2227.98286538836</v>
      </c>
      <c r="T20" s="317" t="n">
        <f aca="false">-Tax!T30</f>
        <v>-2438.58111268455</v>
      </c>
      <c r="U20" s="317" t="n">
        <f aca="false">-Tax!U30</f>
        <v>-2472.85386543191</v>
      </c>
      <c r="V20" s="317" t="n">
        <f aca="false">-Tax!V30</f>
        <v>-2505.79571287603</v>
      </c>
      <c r="W20" s="317" t="n">
        <f aca="false">-Tax!W30</f>
        <v>-2530.89452592287</v>
      </c>
      <c r="X20" s="317" t="n">
        <f aca="false">-Tax!X30</f>
        <v>-2550.90948497056</v>
      </c>
      <c r="Y20" s="317" t="n">
        <f aca="false">-Tax!Y30</f>
        <v>-2584.08104957123</v>
      </c>
      <c r="AA20" s="0"/>
      <c r="AB20" s="0"/>
      <c r="AC20" s="0"/>
    </row>
    <row r="21" customFormat="false" ht="12.75" hidden="false" customHeight="false" outlineLevel="0" collapsed="false">
      <c r="A21" s="272" t="s">
        <v>276</v>
      </c>
      <c r="B21" s="311"/>
      <c r="D21" s="285" t="n">
        <f aca="false">-Tax!D41</f>
        <v>-136.777408428266</v>
      </c>
      <c r="E21" s="285" t="n">
        <f aca="false">-Tax!E41</f>
        <v>-125.214080073888</v>
      </c>
      <c r="F21" s="285" t="n">
        <f aca="false">-Tax!F41</f>
        <v>-445.057907841663</v>
      </c>
      <c r="G21" s="285" t="n">
        <f aca="false">-Tax!G41</f>
        <v>-4459.66578436328</v>
      </c>
      <c r="H21" s="285" t="n">
        <f aca="false">-Tax!H41</f>
        <v>-8683.71115113444</v>
      </c>
      <c r="I21" s="285" t="n">
        <f aca="false">-Tax!I41</f>
        <v>-9067.90077295462</v>
      </c>
      <c r="J21" s="285" t="n">
        <f aca="false">-Tax!J41</f>
        <v>-9329.59533953457</v>
      </c>
      <c r="K21" s="285" t="n">
        <f aca="false">-Tax!K41</f>
        <v>-9480.20693996647</v>
      </c>
      <c r="L21" s="285" t="n">
        <f aca="false">-Tax!L41</f>
        <v>-9844.94893813424</v>
      </c>
      <c r="M21" s="285" t="n">
        <f aca="false">-Tax!M41</f>
        <v>-9998.24841586638</v>
      </c>
      <c r="N21" s="285" t="n">
        <f aca="false">-Tax!N41</f>
        <v>-10379.899964593</v>
      </c>
      <c r="O21" s="285" t="n">
        <f aca="false">-Tax!O41</f>
        <v>-10278.8344850395</v>
      </c>
      <c r="P21" s="285" t="n">
        <f aca="false">-Tax!P41</f>
        <v>-10695.7618604102</v>
      </c>
      <c r="Q21" s="285" t="n">
        <f aca="false">-Tax!Q41</f>
        <v>-10880.3383433761</v>
      </c>
      <c r="R21" s="285" t="n">
        <f aca="false">-Tax!R41</f>
        <v>-11068.5189139465</v>
      </c>
      <c r="S21" s="285" t="n">
        <f aca="false">-Tax!S41</f>
        <v>-12216.7727118795</v>
      </c>
      <c r="T21" s="285" t="n">
        <f aca="false">-Tax!T41</f>
        <v>-13371.5531012203</v>
      </c>
      <c r="U21" s="285" t="n">
        <f aca="false">-Tax!U41</f>
        <v>-13559.482028785</v>
      </c>
      <c r="V21" s="285" t="n">
        <f aca="false">-Tax!V41</f>
        <v>-13740.1131589369</v>
      </c>
      <c r="W21" s="285" t="n">
        <f aca="false">-Tax!W41</f>
        <v>-13877.7383171438</v>
      </c>
      <c r="X21" s="285" t="n">
        <f aca="false">-Tax!X41</f>
        <v>-13987.4870092552</v>
      </c>
      <c r="Y21" s="285" t="n">
        <f aca="false">-Tax!Y41</f>
        <v>-14169.3777551489</v>
      </c>
      <c r="Z21" s="313"/>
      <c r="AA21" s="0"/>
      <c r="AB21" s="0"/>
      <c r="AC21" s="0"/>
    </row>
    <row r="22" customFormat="false" ht="12.75" hidden="false" customHeight="false" outlineLevel="0" collapsed="false">
      <c r="A22" s="311"/>
      <c r="B22" s="311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0"/>
      <c r="AB22" s="0"/>
      <c r="AC22" s="0"/>
    </row>
    <row r="23" customFormat="false" ht="12.75" hidden="false" customHeight="false" outlineLevel="0" collapsed="false">
      <c r="A23" s="310" t="s">
        <v>277</v>
      </c>
      <c r="B23" s="310"/>
      <c r="C23" s="318"/>
      <c r="D23" s="314" t="n">
        <f aca="false">D18+D21+D20</f>
        <v>-1965.08481291893</v>
      </c>
      <c r="E23" s="314" t="n">
        <f aca="false">E18+E21+E20</f>
        <v>-303.749565577065</v>
      </c>
      <c r="F23" s="314" t="n">
        <f aca="false">F18+F21+F20</f>
        <v>-336.124885436912</v>
      </c>
      <c r="G23" s="314" t="n">
        <f aca="false">G18+G21+G20</f>
        <v>6592.82245667467</v>
      </c>
      <c r="H23" s="314" t="n">
        <f aca="false">H18+H21+H20</f>
        <v>13990.4195378211</v>
      </c>
      <c r="I23" s="314" t="n">
        <f aca="false">I18+I21+I20</f>
        <v>14326.5885497729</v>
      </c>
      <c r="J23" s="314" t="n">
        <f aca="false">J18+J21+J20</f>
        <v>14803.8533448499</v>
      </c>
      <c r="K23" s="314" t="n">
        <f aca="false">K18+K21+K20</f>
        <v>15413.5224027949</v>
      </c>
      <c r="L23" s="314" t="n">
        <f aca="false">L18+L21+L20</f>
        <v>16400.9385993922</v>
      </c>
      <c r="M23" s="314" t="n">
        <f aca="false">M18+M21+M20</f>
        <v>17015.5994294661</v>
      </c>
      <c r="N23" s="314" t="n">
        <f aca="false">N18+N21+N20</f>
        <v>18034.4190771012</v>
      </c>
      <c r="O23" s="314" t="n">
        <f aca="false">O18+O21+O20</f>
        <v>18176.6878436448</v>
      </c>
      <c r="P23" s="314" t="n">
        <f aca="false">P18+P21+P20</f>
        <v>19261.0197407618</v>
      </c>
      <c r="Q23" s="314" t="n">
        <f aca="false">Q18+Q21+Q20</f>
        <v>19933.7664376985</v>
      </c>
      <c r="R23" s="314" t="n">
        <f aca="false">R18+R21+R20</f>
        <v>20593.2828401863</v>
      </c>
      <c r="S23" s="314" t="n">
        <f aca="false">S18+S21+S20</f>
        <v>20107.0231792048</v>
      </c>
      <c r="T23" s="314" t="n">
        <f aca="false">T18+T21+T20</f>
        <v>19632.8843308377</v>
      </c>
      <c r="U23" s="314" t="n">
        <f aca="false">U18+U21+U20</f>
        <v>20301.895196315</v>
      </c>
      <c r="V23" s="314" t="n">
        <f aca="false">V18+V21+V20</f>
        <v>20957.3530094543</v>
      </c>
      <c r="W23" s="314" t="n">
        <f aca="false">W18+W21+W20</f>
        <v>21532.9425889813</v>
      </c>
      <c r="X23" s="314" t="n">
        <f aca="false">X18+X21+X20</f>
        <v>25976.7615886168</v>
      </c>
      <c r="Y23" s="314" t="n">
        <f aca="false">Y18+Y21+Y20</f>
        <v>26314.5586881337</v>
      </c>
      <c r="Z23" s="319"/>
      <c r="AA23" s="0"/>
      <c r="AB23" s="0"/>
      <c r="AC23" s="0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318"/>
      <c r="BQ23" s="318"/>
      <c r="BR23" s="318"/>
      <c r="BS23" s="318"/>
      <c r="BT23" s="318"/>
      <c r="BU23" s="318"/>
      <c r="BV23" s="318"/>
      <c r="BW23" s="318"/>
      <c r="BX23" s="318"/>
      <c r="BY23" s="318"/>
      <c r="BZ23" s="318"/>
      <c r="CA23" s="318"/>
      <c r="CB23" s="318"/>
      <c r="CC23" s="318"/>
      <c r="CD23" s="318"/>
      <c r="CE23" s="318"/>
      <c r="CF23" s="318"/>
      <c r="CG23" s="318"/>
      <c r="CH23" s="318"/>
      <c r="CI23" s="318"/>
      <c r="CJ23" s="318"/>
      <c r="CK23" s="318"/>
      <c r="CL23" s="318"/>
      <c r="CM23" s="318"/>
      <c r="CN23" s="318"/>
      <c r="CO23" s="318"/>
      <c r="CP23" s="318"/>
      <c r="CQ23" s="318"/>
      <c r="CR23" s="318"/>
      <c r="CS23" s="318"/>
      <c r="CT23" s="318"/>
      <c r="CU23" s="318"/>
      <c r="CV23" s="318"/>
      <c r="CW23" s="318"/>
      <c r="CX23" s="318"/>
      <c r="CY23" s="318"/>
      <c r="CZ23" s="318"/>
      <c r="DA23" s="318"/>
      <c r="DB23" s="318"/>
      <c r="DC23" s="318"/>
      <c r="DD23" s="318"/>
      <c r="DE23" s="318"/>
      <c r="DF23" s="318"/>
      <c r="DG23" s="318"/>
      <c r="DH23" s="318"/>
      <c r="DI23" s="318"/>
      <c r="DJ23" s="318"/>
      <c r="DK23" s="318"/>
      <c r="DL23" s="318"/>
      <c r="DM23" s="318"/>
      <c r="DN23" s="318"/>
      <c r="DO23" s="318"/>
      <c r="DP23" s="318"/>
      <c r="DQ23" s="318"/>
      <c r="DR23" s="318"/>
      <c r="DS23" s="318"/>
      <c r="DT23" s="318"/>
      <c r="DU23" s="318"/>
      <c r="DV23" s="318"/>
      <c r="DW23" s="318"/>
      <c r="DX23" s="318"/>
      <c r="DY23" s="318"/>
      <c r="DZ23" s="318"/>
      <c r="EA23" s="318"/>
      <c r="EB23" s="318"/>
      <c r="EC23" s="318"/>
      <c r="ED23" s="318"/>
      <c r="EE23" s="318"/>
      <c r="EF23" s="318"/>
      <c r="EG23" s="318"/>
      <c r="EH23" s="318"/>
      <c r="EI23" s="318"/>
      <c r="EJ23" s="318"/>
      <c r="EK23" s="318"/>
      <c r="EL23" s="318"/>
      <c r="EM23" s="318"/>
      <c r="EN23" s="318"/>
      <c r="EO23" s="318"/>
      <c r="EP23" s="318"/>
      <c r="EQ23" s="318"/>
      <c r="ER23" s="318"/>
      <c r="ES23" s="318"/>
      <c r="ET23" s="318"/>
      <c r="EU23" s="318"/>
      <c r="EV23" s="318"/>
      <c r="EW23" s="318"/>
      <c r="EX23" s="318"/>
      <c r="EY23" s="318"/>
      <c r="EZ23" s="318"/>
      <c r="FA23" s="318"/>
      <c r="FB23" s="318"/>
      <c r="FC23" s="318"/>
      <c r="FD23" s="318"/>
      <c r="FE23" s="318"/>
      <c r="FF23" s="318"/>
      <c r="FG23" s="318"/>
      <c r="FH23" s="318"/>
      <c r="FI23" s="318"/>
      <c r="FJ23" s="318"/>
      <c r="FK23" s="318"/>
      <c r="FL23" s="318"/>
      <c r="FM23" s="318"/>
      <c r="FN23" s="318"/>
      <c r="FO23" s="318"/>
      <c r="FP23" s="318"/>
      <c r="FQ23" s="318"/>
      <c r="FR23" s="318"/>
      <c r="FS23" s="318"/>
      <c r="FT23" s="318"/>
      <c r="FU23" s="318"/>
      <c r="FV23" s="318"/>
      <c r="FW23" s="318"/>
      <c r="FX23" s="318"/>
      <c r="FY23" s="318"/>
      <c r="FZ23" s="318"/>
      <c r="GA23" s="318"/>
      <c r="GB23" s="318"/>
      <c r="GC23" s="318"/>
      <c r="GD23" s="318"/>
      <c r="GE23" s="318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  <c r="IW23" s="318"/>
    </row>
    <row r="24" customFormat="false" ht="12.75" hidden="false" customHeight="false" outlineLevel="0" collapsed="false">
      <c r="A24" s="311"/>
      <c r="B24" s="311"/>
      <c r="D24" s="181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0"/>
      <c r="AB24" s="0"/>
      <c r="AC24" s="0"/>
    </row>
    <row r="25" customFormat="false" ht="12.75" hidden="false" customHeight="false" outlineLevel="0" collapsed="false">
      <c r="A25" s="320" t="s">
        <v>278</v>
      </c>
      <c r="B25" s="320"/>
      <c r="C25" s="321" t="n">
        <f aca="false">Assumptions!B68</f>
        <v>0.5</v>
      </c>
      <c r="D25" s="181" t="n">
        <v>0</v>
      </c>
      <c r="E25" s="181" t="n">
        <f aca="false">$C$25*IS!E55</f>
        <v>1637.93516721147</v>
      </c>
      <c r="F25" s="181" t="n">
        <f aca="false">$C$25*IS!F55</f>
        <v>1645.81666678154</v>
      </c>
      <c r="G25" s="181" t="n">
        <f aca="false">$C$25*IS!G55</f>
        <v>5114.98379633733</v>
      </c>
      <c r="H25" s="181" t="n">
        <f aca="false">$C$25*IS!H55</f>
        <v>8802.97523461055</v>
      </c>
      <c r="I25" s="181" t="n">
        <f aca="false">$C$25*IS!I55</f>
        <v>8946.68964758644</v>
      </c>
      <c r="J25" s="181" t="n">
        <f aca="false">$C$25*IS!J55</f>
        <v>9089.26185842496</v>
      </c>
      <c r="K25" s="181" t="n">
        <f aca="false">$C$25*IS!K55</f>
        <v>9232.15881729744</v>
      </c>
      <c r="L25" s="181" t="n">
        <f aca="false">$C$25*IS!L55</f>
        <v>9567.80448569608</v>
      </c>
      <c r="M25" s="181" t="n">
        <f aca="false">$C$25*IS!M55</f>
        <v>9713.19733063307</v>
      </c>
      <c r="N25" s="181" t="n">
        <f aca="false">$C$25*IS!N55</f>
        <v>10064.5447245506</v>
      </c>
      <c r="O25" s="181" t="n">
        <f aca="false">$C$25*IS!O55</f>
        <v>9973.74153772238</v>
      </c>
      <c r="P25" s="181" t="n">
        <f aca="false">$C$25*IS!P55</f>
        <v>10357.8450563809</v>
      </c>
      <c r="Q25" s="181" t="n">
        <f aca="false">$C$25*IS!Q55</f>
        <v>10532.2808347492</v>
      </c>
      <c r="R25" s="181" t="n">
        <f aca="false">$C$25*IS!R55</f>
        <v>10703.9766060932</v>
      </c>
      <c r="S25" s="181" t="n">
        <f aca="false">$C$25*IS!S55</f>
        <v>10872.4299551024</v>
      </c>
      <c r="T25" s="181" t="n">
        <f aca="false">$C$25*IS!T55</f>
        <v>11046.9437104189</v>
      </c>
      <c r="U25" s="181" t="n">
        <f aca="false">$C$25*IS!U55</f>
        <v>11221.4491431575</v>
      </c>
      <c r="V25" s="181" t="n">
        <f aca="false">$C$25*IS!V55</f>
        <v>11389.1780497271</v>
      </c>
      <c r="W25" s="181" t="n">
        <f aca="false">$C$25*IS!W55</f>
        <v>11516.9728394906</v>
      </c>
      <c r="X25" s="181" t="n">
        <f aca="false">$C$25*IS!X55</f>
        <v>11618.8823393084</v>
      </c>
      <c r="Y25" s="181" t="n">
        <f aca="false">$C$25*IS!Y55</f>
        <v>11787.7808890668</v>
      </c>
      <c r="Z25" s="181"/>
      <c r="AA25" s="0"/>
      <c r="AB25" s="0"/>
      <c r="AC25" s="0"/>
    </row>
    <row r="26" customFormat="false" ht="12.75" hidden="false" customHeight="false" outlineLevel="0" collapsed="false">
      <c r="A26" s="320" t="s">
        <v>279</v>
      </c>
      <c r="B26" s="320"/>
      <c r="C26" s="321" t="n">
        <v>0.5</v>
      </c>
      <c r="D26" s="181" t="n">
        <f aca="false">(D23)*$C$26</f>
        <v>-982.542406459467</v>
      </c>
      <c r="E26" s="312" t="n">
        <f aca="false">(E23)*$C$26</f>
        <v>-151.874782788532</v>
      </c>
      <c r="F26" s="312" t="n">
        <f aca="false">(F23)*$C$26</f>
        <v>-168.062442718456</v>
      </c>
      <c r="G26" s="312" t="n">
        <f aca="false">(G23)*$C$26</f>
        <v>3296.41122833733</v>
      </c>
      <c r="H26" s="312" t="n">
        <f aca="false">(H23)*$C$26</f>
        <v>6995.20976891055</v>
      </c>
      <c r="I26" s="312" t="n">
        <f aca="false">(I23)*$C$26</f>
        <v>7163.29427488644</v>
      </c>
      <c r="J26" s="312" t="n">
        <f aca="false">(J23)*$C$26</f>
        <v>7401.92667242496</v>
      </c>
      <c r="K26" s="312" t="n">
        <f aca="false">(K23)*$C$26</f>
        <v>7706.76120139744</v>
      </c>
      <c r="L26" s="312" t="n">
        <f aca="false">(L23)*$C$26</f>
        <v>8200.46929969608</v>
      </c>
      <c r="M26" s="312" t="n">
        <f aca="false">(M23)*$C$26</f>
        <v>8507.79971473307</v>
      </c>
      <c r="N26" s="312" t="n">
        <f aca="false">(N23)*$C$26</f>
        <v>9017.20953855062</v>
      </c>
      <c r="O26" s="312" t="n">
        <f aca="false">(O23)*$C$26</f>
        <v>9088.34392182239</v>
      </c>
      <c r="P26" s="312" t="n">
        <f aca="false">(P23)*$C$26</f>
        <v>9630.50987038088</v>
      </c>
      <c r="Q26" s="312" t="n">
        <f aca="false">(Q23)*$C$26</f>
        <v>9966.88321884924</v>
      </c>
      <c r="R26" s="312" t="n">
        <f aca="false">(R23)*$C$26</f>
        <v>10296.6414200932</v>
      </c>
      <c r="S26" s="312" t="n">
        <f aca="false">(S23)*$C$26</f>
        <v>10053.5115896024</v>
      </c>
      <c r="T26" s="312" t="n">
        <f aca="false">(T23)*$C$26</f>
        <v>9816.44216541885</v>
      </c>
      <c r="U26" s="312" t="n">
        <f aca="false">(U23)*$C$26</f>
        <v>10150.9475981575</v>
      </c>
      <c r="V26" s="312" t="n">
        <f aca="false">(V23)*$C$26</f>
        <v>10478.6765047271</v>
      </c>
      <c r="W26" s="312" t="n">
        <f aca="false">(W23)*$C$26</f>
        <v>10766.4712944906</v>
      </c>
      <c r="X26" s="312" t="n">
        <f aca="false">(X23)*$C$26</f>
        <v>12988.3807943084</v>
      </c>
      <c r="Y26" s="312" t="n">
        <f aca="false">(Y23)*$C$26</f>
        <v>13157.2793440668</v>
      </c>
      <c r="Z26" s="312"/>
      <c r="AA26" s="0"/>
      <c r="AB26" s="0"/>
      <c r="AC26" s="0"/>
    </row>
    <row r="27" customFormat="false" ht="12.75" hidden="false" customHeight="false" outlineLevel="0" collapsed="false">
      <c r="A27" s="311"/>
      <c r="B27" s="311"/>
      <c r="D27" s="322"/>
      <c r="E27" s="322"/>
      <c r="F27" s="322"/>
      <c r="G27" s="322"/>
      <c r="H27" s="322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</row>
    <row r="28" customFormat="false" ht="12.75" hidden="false" customHeight="false" outlineLevel="0" collapsed="false">
      <c r="A28" s="323"/>
      <c r="B28" s="323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</row>
    <row r="29" customFormat="false" ht="12.75" hidden="false" customHeight="false" outlineLevel="0" collapsed="false">
      <c r="A29" s="323"/>
      <c r="B29" s="323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</row>
    <row r="30" customFormat="false" ht="18.75" hidden="false" customHeight="false" outlineLevel="0" collapsed="false">
      <c r="A30" s="6" t="s">
        <v>280</v>
      </c>
      <c r="B30" s="302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</row>
    <row r="31" customFormat="false" ht="12.75" hidden="false" customHeight="false" outlineLevel="0" collapsed="false"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</row>
    <row r="32" customFormat="false" ht="13.5" hidden="false" customHeight="false" outlineLevel="0" collapsed="false">
      <c r="A32" s="264" t="s">
        <v>241</v>
      </c>
      <c r="B32" s="264"/>
      <c r="C32" s="305"/>
      <c r="D32" s="265" t="n">
        <f aca="false">D9</f>
        <v>2002</v>
      </c>
      <c r="E32" s="265" t="n">
        <f aca="false">E9</f>
        <v>2003</v>
      </c>
      <c r="F32" s="265" t="n">
        <f aca="false">F9</f>
        <v>2004</v>
      </c>
      <c r="G32" s="265" t="n">
        <f aca="false">G9</f>
        <v>2005</v>
      </c>
      <c r="H32" s="265" t="n">
        <f aca="false">H9</f>
        <v>2006</v>
      </c>
      <c r="I32" s="265" t="n">
        <f aca="false">I9</f>
        <v>2007</v>
      </c>
      <c r="J32" s="265" t="n">
        <f aca="false">J9</f>
        <v>2008</v>
      </c>
      <c r="K32" s="265" t="n">
        <f aca="false">K9</f>
        <v>2009</v>
      </c>
      <c r="L32" s="265" t="n">
        <f aca="false">L9</f>
        <v>2010</v>
      </c>
      <c r="M32" s="265" t="n">
        <f aca="false">M9</f>
        <v>2011</v>
      </c>
      <c r="N32" s="265" t="n">
        <f aca="false">N9</f>
        <v>2012</v>
      </c>
      <c r="O32" s="265" t="n">
        <f aca="false">O9</f>
        <v>2013</v>
      </c>
      <c r="P32" s="265" t="n">
        <f aca="false">P9</f>
        <v>2014</v>
      </c>
      <c r="Q32" s="265" t="n">
        <f aca="false">Q9</f>
        <v>2015</v>
      </c>
      <c r="R32" s="265" t="n">
        <f aca="false">R9</f>
        <v>2016</v>
      </c>
      <c r="S32" s="265" t="n">
        <f aca="false">S9</f>
        <v>2017</v>
      </c>
      <c r="T32" s="265" t="n">
        <f aca="false">T9</f>
        <v>2018</v>
      </c>
      <c r="U32" s="265" t="n">
        <f aca="false">U9</f>
        <v>2019</v>
      </c>
      <c r="V32" s="265" t="n">
        <f aca="false">V9</f>
        <v>2020</v>
      </c>
      <c r="W32" s="265" t="n">
        <f aca="false">W9</f>
        <v>2021</v>
      </c>
      <c r="X32" s="265" t="n">
        <f aca="false">X9</f>
        <v>2022</v>
      </c>
      <c r="Y32" s="265" t="n">
        <f aca="false">Y9</f>
        <v>2023</v>
      </c>
    </row>
    <row r="33" customFormat="false" ht="14.25" hidden="false" customHeight="true" outlineLevel="0" collapsed="false">
      <c r="A33" s="324"/>
      <c r="B33" s="324"/>
      <c r="D33" s="325" t="n">
        <v>36891</v>
      </c>
      <c r="E33" s="325" t="n">
        <v>37256</v>
      </c>
      <c r="F33" s="325" t="n">
        <v>37621</v>
      </c>
      <c r="G33" s="325" t="n">
        <v>37986</v>
      </c>
      <c r="H33" s="325" t="n">
        <v>38352</v>
      </c>
      <c r="I33" s="325" t="n">
        <v>38717</v>
      </c>
      <c r="J33" s="325" t="n">
        <v>39082</v>
      </c>
      <c r="K33" s="325" t="n">
        <v>39447</v>
      </c>
      <c r="L33" s="325" t="n">
        <v>39813</v>
      </c>
      <c r="M33" s="325" t="n">
        <v>40178</v>
      </c>
      <c r="N33" s="325" t="n">
        <v>40543</v>
      </c>
      <c r="O33" s="325" t="n">
        <v>40908</v>
      </c>
      <c r="P33" s="325" t="n">
        <v>41274</v>
      </c>
      <c r="Q33" s="325" t="n">
        <v>41639</v>
      </c>
      <c r="R33" s="325" t="n">
        <v>42004</v>
      </c>
      <c r="S33" s="325" t="n">
        <v>42369</v>
      </c>
      <c r="T33" s="325" t="n">
        <v>42735</v>
      </c>
      <c r="U33" s="325" t="n">
        <v>43100</v>
      </c>
      <c r="V33" s="325" t="n">
        <v>43465</v>
      </c>
      <c r="W33" s="325" t="n">
        <v>43830</v>
      </c>
      <c r="X33" s="325" t="n">
        <v>44196</v>
      </c>
      <c r="Y33" s="325" t="n">
        <v>44561</v>
      </c>
    </row>
    <row r="34" customFormat="false" ht="12.75" hidden="false" customHeight="false" outlineLevel="0" collapsed="false">
      <c r="A34" s="323"/>
      <c r="B34" s="323"/>
      <c r="K34" s="326"/>
    </row>
    <row r="35" customFormat="false" ht="12.75" hidden="false" customHeight="false" outlineLevel="0" collapsed="false">
      <c r="A35" s="310" t="s">
        <v>274</v>
      </c>
      <c r="B35" s="323"/>
      <c r="C35" s="318"/>
      <c r="D35" s="314" t="n">
        <f aca="false">$C$26*D18</f>
        <v>-901.681598133334</v>
      </c>
      <c r="E35" s="315" t="n">
        <f aca="false">$C$26*E18</f>
        <v>-77.8500454804134</v>
      </c>
      <c r="F35" s="315" t="n">
        <f aca="false">$C$26*F18</f>
        <v>95.049299151463</v>
      </c>
      <c r="G35" s="315" t="n">
        <f aca="false">$C$26*G18</f>
        <v>5932.90057502019</v>
      </c>
      <c r="H35" s="315" t="n">
        <f aca="false">$C$26*H18</f>
        <v>12128.8931090189</v>
      </c>
      <c r="I35" s="315" t="n">
        <f aca="false">$C$26*I18</f>
        <v>12524.1049142168</v>
      </c>
      <c r="J35" s="315" t="n">
        <f aca="false">$C$26*J18</f>
        <v>12917.4473214811</v>
      </c>
      <c r="K35" s="315" t="n">
        <f aca="false">$C$26*K18</f>
        <v>13311.321231256</v>
      </c>
      <c r="L35" s="315" t="n">
        <f aca="false">$C$26*L18</f>
        <v>14020.6594774077</v>
      </c>
      <c r="M35" s="315" t="n">
        <f aca="false">$C$26*M18</f>
        <v>14418.6183070918</v>
      </c>
      <c r="N35" s="315" t="n">
        <f aca="false">$C$26*N18</f>
        <v>15153.654958348</v>
      </c>
      <c r="O35" s="315" t="n">
        <f aca="false">$C$26*O18</f>
        <v>15165.0409046193</v>
      </c>
      <c r="P35" s="315" t="n">
        <f aca="false">$C$26*P18</f>
        <v>15953.6882346659</v>
      </c>
      <c r="Q35" s="315" t="n">
        <f aca="false">$C$26*Q18</f>
        <v>16399.1805069546</v>
      </c>
      <c r="R35" s="315" t="n">
        <f aca="false">$C$26*R18</f>
        <v>16840.1883160281</v>
      </c>
      <c r="S35" s="315" t="n">
        <f aca="false">$C$26*S18</f>
        <v>17275.8893782364</v>
      </c>
      <c r="T35" s="315" t="n">
        <f aca="false">$C$26*T18</f>
        <v>17721.5092723713</v>
      </c>
      <c r="U35" s="315" t="n">
        <f aca="false">$C$26*U18</f>
        <v>18167.1155452659</v>
      </c>
      <c r="V35" s="315" t="n">
        <f aca="false">$C$26*V18</f>
        <v>18601.6309406336</v>
      </c>
      <c r="W35" s="315" t="n">
        <f aca="false">$C$26*W18</f>
        <v>18970.787716024</v>
      </c>
      <c r="X35" s="315" t="n">
        <f aca="false">$C$26*X18</f>
        <v>21257.5790414213</v>
      </c>
      <c r="Y35" s="315" t="n">
        <f aca="false">$C$26*Y18</f>
        <v>21534.0087464269</v>
      </c>
      <c r="Z35" s="327"/>
      <c r="AA35" s="327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  <c r="BE35" s="318"/>
      <c r="BF35" s="318"/>
      <c r="BG35" s="318"/>
      <c r="BH35" s="318"/>
      <c r="BI35" s="318"/>
      <c r="BJ35" s="318"/>
      <c r="BK35" s="318"/>
      <c r="BL35" s="318"/>
      <c r="BM35" s="318"/>
      <c r="BN35" s="318"/>
      <c r="BO35" s="318"/>
      <c r="BP35" s="318"/>
      <c r="BQ35" s="318"/>
      <c r="BR35" s="318"/>
      <c r="BS35" s="318"/>
      <c r="BT35" s="318"/>
      <c r="BU35" s="318"/>
      <c r="BV35" s="318"/>
      <c r="BW35" s="318"/>
      <c r="BX35" s="318"/>
      <c r="BY35" s="318"/>
      <c r="BZ35" s="318"/>
      <c r="CA35" s="318"/>
      <c r="CB35" s="318"/>
      <c r="CC35" s="318"/>
      <c r="CD35" s="318"/>
      <c r="CE35" s="318"/>
      <c r="CF35" s="318"/>
      <c r="CG35" s="318"/>
      <c r="CH35" s="318"/>
      <c r="CI35" s="318"/>
      <c r="CJ35" s="318"/>
      <c r="CK35" s="318"/>
      <c r="CL35" s="318"/>
      <c r="CM35" s="318"/>
      <c r="CN35" s="318"/>
      <c r="CO35" s="318"/>
      <c r="CP35" s="318"/>
      <c r="CQ35" s="318"/>
      <c r="CR35" s="318"/>
      <c r="CS35" s="318"/>
      <c r="CT35" s="318"/>
      <c r="CU35" s="318"/>
      <c r="CV35" s="318"/>
      <c r="CW35" s="318"/>
      <c r="CX35" s="318"/>
      <c r="CY35" s="318"/>
      <c r="CZ35" s="318"/>
      <c r="DA35" s="318"/>
      <c r="DB35" s="318"/>
      <c r="DC35" s="318"/>
      <c r="DD35" s="318"/>
      <c r="DE35" s="318"/>
      <c r="DF35" s="318"/>
      <c r="DG35" s="318"/>
      <c r="DH35" s="318"/>
      <c r="DI35" s="318"/>
      <c r="DJ35" s="318"/>
      <c r="DK35" s="318"/>
      <c r="DL35" s="318"/>
      <c r="DM35" s="318"/>
      <c r="DN35" s="318"/>
      <c r="DO35" s="318"/>
      <c r="DP35" s="318"/>
      <c r="DQ35" s="318"/>
      <c r="DR35" s="318"/>
      <c r="DS35" s="318"/>
      <c r="DT35" s="318"/>
      <c r="DU35" s="318"/>
      <c r="DV35" s="318"/>
      <c r="DW35" s="318"/>
      <c r="DX35" s="318"/>
      <c r="DY35" s="318"/>
      <c r="DZ35" s="318"/>
      <c r="EA35" s="318"/>
      <c r="EB35" s="318"/>
      <c r="EC35" s="318"/>
      <c r="ED35" s="318"/>
      <c r="EE35" s="318"/>
      <c r="EF35" s="318"/>
      <c r="EG35" s="318"/>
      <c r="EH35" s="318"/>
      <c r="EI35" s="318"/>
      <c r="EJ35" s="318"/>
      <c r="EK35" s="318"/>
      <c r="EL35" s="318"/>
      <c r="EM35" s="318"/>
      <c r="EN35" s="318"/>
      <c r="EO35" s="318"/>
      <c r="EP35" s="318"/>
      <c r="EQ35" s="318"/>
      <c r="ER35" s="318"/>
      <c r="ES35" s="318"/>
      <c r="ET35" s="318"/>
      <c r="EU35" s="318"/>
      <c r="EV35" s="318"/>
      <c r="EW35" s="318"/>
      <c r="EX35" s="318"/>
      <c r="EY35" s="318"/>
      <c r="EZ35" s="318"/>
      <c r="FA35" s="318"/>
      <c r="FB35" s="318"/>
      <c r="FC35" s="318"/>
      <c r="FD35" s="318"/>
      <c r="FE35" s="318"/>
      <c r="FF35" s="318"/>
      <c r="FG35" s="318"/>
      <c r="FH35" s="318"/>
      <c r="FI35" s="318"/>
      <c r="FJ35" s="318"/>
      <c r="FK35" s="318"/>
      <c r="FL35" s="318"/>
      <c r="FM35" s="318"/>
      <c r="FN35" s="318"/>
      <c r="FO35" s="318"/>
      <c r="FP35" s="318"/>
      <c r="FQ35" s="318"/>
      <c r="FR35" s="318"/>
      <c r="FS35" s="318"/>
      <c r="FT35" s="318"/>
      <c r="FU35" s="318"/>
      <c r="FV35" s="318"/>
      <c r="FW35" s="318"/>
      <c r="FX35" s="318"/>
      <c r="FY35" s="318"/>
      <c r="FZ35" s="318"/>
      <c r="GA35" s="318"/>
      <c r="GB35" s="318"/>
      <c r="GC35" s="318"/>
      <c r="GD35" s="318"/>
      <c r="GE35" s="318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  <c r="GW35" s="318"/>
      <c r="GX35" s="318"/>
      <c r="GY35" s="318"/>
      <c r="GZ35" s="318"/>
      <c r="HA35" s="318"/>
      <c r="HB35" s="318"/>
      <c r="HC35" s="318"/>
      <c r="HD35" s="318"/>
      <c r="HE35" s="318"/>
      <c r="HF35" s="318"/>
      <c r="HG35" s="318"/>
      <c r="HH35" s="318"/>
      <c r="HI35" s="318"/>
      <c r="HJ35" s="318"/>
      <c r="HK35" s="318"/>
      <c r="HL35" s="318"/>
      <c r="HM35" s="318"/>
      <c r="HN35" s="318"/>
      <c r="HO35" s="318"/>
      <c r="HP35" s="318"/>
      <c r="HQ35" s="318"/>
      <c r="HR35" s="318"/>
      <c r="HS35" s="318"/>
      <c r="HT35" s="318"/>
      <c r="HU35" s="318"/>
      <c r="HV35" s="318"/>
      <c r="HW35" s="318"/>
      <c r="HX35" s="318"/>
      <c r="HY35" s="318"/>
      <c r="HZ35" s="318"/>
      <c r="IA35" s="318"/>
      <c r="IB35" s="318"/>
      <c r="IC35" s="318"/>
      <c r="ID35" s="318"/>
      <c r="IE35" s="318"/>
      <c r="IF35" s="318"/>
      <c r="IG35" s="318"/>
      <c r="IH35" s="318"/>
      <c r="II35" s="318"/>
      <c r="IJ35" s="318"/>
      <c r="IK35" s="318"/>
      <c r="IL35" s="318"/>
      <c r="IM35" s="318"/>
      <c r="IN35" s="318"/>
      <c r="IO35" s="318"/>
      <c r="IP35" s="318"/>
      <c r="IQ35" s="318"/>
      <c r="IR35" s="318"/>
      <c r="IS35" s="318"/>
      <c r="IT35" s="318"/>
      <c r="IU35" s="318"/>
      <c r="IV35" s="318"/>
      <c r="IW35" s="318"/>
    </row>
    <row r="36" customFormat="false" ht="12.75" hidden="false" customHeight="false" outlineLevel="0" collapsed="false">
      <c r="A36" s="310"/>
      <c r="B36" s="323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</row>
    <row r="37" customFormat="false" ht="12.75" hidden="false" customHeight="false" outlineLevel="0" collapsed="false">
      <c r="A37" s="311" t="s">
        <v>281</v>
      </c>
      <c r="B37" s="323"/>
      <c r="D37" s="328" t="n">
        <f aca="false">$C$26*D20</f>
        <v>-12.472104112</v>
      </c>
      <c r="E37" s="328" t="n">
        <f aca="false">$C$26*E20</f>
        <v>-11.4176972711752</v>
      </c>
      <c r="F37" s="328" t="n">
        <f aca="false">$C$26*F20</f>
        <v>-40.5827879490878</v>
      </c>
      <c r="G37" s="328" t="n">
        <f aca="false">$C$26*G20</f>
        <v>-406.656454501211</v>
      </c>
      <c r="H37" s="328" t="n">
        <f aca="false">$C$26*H20</f>
        <v>-791.827764541134</v>
      </c>
      <c r="I37" s="328" t="n">
        <f aca="false">$C$26*I20</f>
        <v>-826.860252853005</v>
      </c>
      <c r="J37" s="328" t="n">
        <f aca="false">$C$26*J20</f>
        <v>-850.722979288867</v>
      </c>
      <c r="K37" s="328" t="n">
        <f aca="false">$C$26*K20</f>
        <v>-864.456559875362</v>
      </c>
      <c r="L37" s="328" t="n">
        <f aca="false">$C$26*L20</f>
        <v>-897.715708644459</v>
      </c>
      <c r="M37" s="328" t="n">
        <f aca="false">$C$26*M20</f>
        <v>-911.694384425506</v>
      </c>
      <c r="N37" s="328" t="n">
        <f aca="false">$C$26*N20</f>
        <v>-946.495437500879</v>
      </c>
      <c r="O37" s="328" t="n">
        <f aca="false">$C$26*O20</f>
        <v>-937.279740277157</v>
      </c>
      <c r="P37" s="328" t="n">
        <f aca="false">$C$26*P20</f>
        <v>-975.297434079955</v>
      </c>
      <c r="Q37" s="328" t="n">
        <f aca="false">$C$26*Q20</f>
        <v>-992.128116417274</v>
      </c>
      <c r="R37" s="328" t="n">
        <f aca="false">$C$26*R20</f>
        <v>-1009.28743896168</v>
      </c>
      <c r="S37" s="328" t="n">
        <f aca="false">$C$26*S20</f>
        <v>-1113.99143269418</v>
      </c>
      <c r="T37" s="328" t="n">
        <f aca="false">$C$26*T20</f>
        <v>-1219.29055634228</v>
      </c>
      <c r="U37" s="328" t="n">
        <f aca="false">$C$26*U20</f>
        <v>-1236.42693271596</v>
      </c>
      <c r="V37" s="328" t="n">
        <f aca="false">$C$26*V20</f>
        <v>-1252.89785643802</v>
      </c>
      <c r="W37" s="328" t="n">
        <f aca="false">$C$26*W20</f>
        <v>-1265.44726296144</v>
      </c>
      <c r="X37" s="328" t="n">
        <f aca="false">$C$26*X20</f>
        <v>-1275.45474248528</v>
      </c>
      <c r="Y37" s="328" t="n">
        <f aca="false">$C$26*Y20</f>
        <v>-1292.04052478562</v>
      </c>
    </row>
    <row r="38" customFormat="false" ht="12.75" hidden="false" customHeight="false" outlineLevel="0" collapsed="false">
      <c r="A38" s="311" t="s">
        <v>282</v>
      </c>
      <c r="B38" s="323"/>
      <c r="D38" s="329" t="n">
        <f aca="false">$C$26*D21</f>
        <v>-68.3887042141331</v>
      </c>
      <c r="E38" s="329" t="n">
        <f aca="false">$C$26*E21</f>
        <v>-62.6070400369438</v>
      </c>
      <c r="F38" s="329" t="n">
        <f aca="false">$C$26*F21</f>
        <v>-222.528953920831</v>
      </c>
      <c r="G38" s="329" t="n">
        <f aca="false">$C$26*G21</f>
        <v>-2229.83289218164</v>
      </c>
      <c r="H38" s="329" t="n">
        <f aca="false">$C$26*H21</f>
        <v>-4341.85557556722</v>
      </c>
      <c r="I38" s="329" t="n">
        <f aca="false">$C$26*I21</f>
        <v>-4533.95038647731</v>
      </c>
      <c r="J38" s="329" t="n">
        <f aca="false">$C$26*J21</f>
        <v>-4664.79766976729</v>
      </c>
      <c r="K38" s="329" t="n">
        <f aca="false">$C$26*K21</f>
        <v>-4740.10346998324</v>
      </c>
      <c r="L38" s="329" t="n">
        <f aca="false">$C$26*L21</f>
        <v>-4922.47446906712</v>
      </c>
      <c r="M38" s="329" t="n">
        <f aca="false">$C$26*M21</f>
        <v>-4999.12420793319</v>
      </c>
      <c r="N38" s="329" t="n">
        <f aca="false">$C$26*N21</f>
        <v>-5189.94998229649</v>
      </c>
      <c r="O38" s="329" t="n">
        <f aca="false">$C$26*O21</f>
        <v>-5139.41724251975</v>
      </c>
      <c r="P38" s="329" t="n">
        <f aca="false">$C$26*P21</f>
        <v>-5347.88093020509</v>
      </c>
      <c r="Q38" s="329" t="n">
        <f aca="false">$C$26*Q21</f>
        <v>-5440.16917168805</v>
      </c>
      <c r="R38" s="329" t="n">
        <f aca="false">$C$26*R21</f>
        <v>-5534.25945697324</v>
      </c>
      <c r="S38" s="329" t="n">
        <f aca="false">$C$26*S21</f>
        <v>-6108.38635593976</v>
      </c>
      <c r="T38" s="329" t="n">
        <f aca="false">$C$26*T21</f>
        <v>-6685.77655061015</v>
      </c>
      <c r="U38" s="329" t="n">
        <f aca="false">$C$26*U21</f>
        <v>-6779.74101439249</v>
      </c>
      <c r="V38" s="329" t="n">
        <f aca="false">$C$26*V21</f>
        <v>-6870.05657946846</v>
      </c>
      <c r="W38" s="329" t="n">
        <f aca="false">$C$26*W21</f>
        <v>-6938.86915857188</v>
      </c>
      <c r="X38" s="329" t="n">
        <f aca="false">$C$26*X21</f>
        <v>-6993.74350462761</v>
      </c>
      <c r="Y38" s="329" t="n">
        <f aca="false">$C$26*Y21</f>
        <v>-7084.68887757446</v>
      </c>
    </row>
    <row r="39" customFormat="false" ht="12.75" hidden="false" customHeight="false" outlineLevel="0" collapsed="false">
      <c r="A39" s="311"/>
      <c r="B39" s="323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</row>
    <row r="40" customFormat="false" ht="12.75" hidden="false" customHeight="false" outlineLevel="0" collapsed="false">
      <c r="A40" s="310" t="s">
        <v>277</v>
      </c>
      <c r="B40" s="323"/>
      <c r="C40" s="318"/>
      <c r="D40" s="314" t="n">
        <f aca="false">$C$26*D23</f>
        <v>-982.542406459467</v>
      </c>
      <c r="E40" s="315" t="n">
        <f aca="false">$C$26*E23</f>
        <v>-151.874782788532</v>
      </c>
      <c r="F40" s="315" t="n">
        <f aca="false">$C$26*F23</f>
        <v>-168.062442718456</v>
      </c>
      <c r="G40" s="315" t="n">
        <f aca="false">$C$26*G23</f>
        <v>3296.41122833733</v>
      </c>
      <c r="H40" s="315" t="n">
        <f aca="false">$C$26*H23</f>
        <v>6995.20976891055</v>
      </c>
      <c r="I40" s="315" t="n">
        <f aca="false">$C$26*I23</f>
        <v>7163.29427488644</v>
      </c>
      <c r="J40" s="315" t="n">
        <f aca="false">$C$26*J23</f>
        <v>7401.92667242496</v>
      </c>
      <c r="K40" s="315" t="n">
        <f aca="false">$C$26*K23</f>
        <v>7706.76120139744</v>
      </c>
      <c r="L40" s="315" t="n">
        <f aca="false">$C$26*L23</f>
        <v>8200.46929969608</v>
      </c>
      <c r="M40" s="315" t="n">
        <f aca="false">$C$26*M23</f>
        <v>8507.79971473307</v>
      </c>
      <c r="N40" s="315" t="n">
        <f aca="false">$C$26*N23</f>
        <v>9017.20953855062</v>
      </c>
      <c r="O40" s="315" t="n">
        <f aca="false">$C$26*O23</f>
        <v>9088.34392182239</v>
      </c>
      <c r="P40" s="315" t="n">
        <f aca="false">$C$26*P23</f>
        <v>9630.50987038088</v>
      </c>
      <c r="Q40" s="315" t="n">
        <f aca="false">$C$26*Q23</f>
        <v>9966.88321884924</v>
      </c>
      <c r="R40" s="315" t="n">
        <f aca="false">$C$26*R23</f>
        <v>10296.6414200932</v>
      </c>
      <c r="S40" s="315" t="n">
        <f aca="false">$C$26*S23</f>
        <v>10053.5115896024</v>
      </c>
      <c r="T40" s="315" t="n">
        <f aca="false">$C$26*T23</f>
        <v>9816.44216541885</v>
      </c>
      <c r="U40" s="315" t="n">
        <f aca="false">$C$26*U23</f>
        <v>10150.9475981575</v>
      </c>
      <c r="V40" s="315" t="n">
        <f aca="false">$C$26*V23</f>
        <v>10478.6765047271</v>
      </c>
      <c r="W40" s="315" t="n">
        <f aca="false">$C$26*W23</f>
        <v>10766.4712944906</v>
      </c>
      <c r="X40" s="315" t="n">
        <f aca="false">$C$26*X23</f>
        <v>12988.3807943084</v>
      </c>
      <c r="Y40" s="315" t="n">
        <f aca="false">$C$26*Y23</f>
        <v>13157.2793440668</v>
      </c>
      <c r="Z40" s="327"/>
      <c r="AA40" s="327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318"/>
      <c r="BQ40" s="318"/>
      <c r="BR40" s="318"/>
      <c r="BS40" s="318"/>
      <c r="BT40" s="318"/>
      <c r="BU40" s="318"/>
      <c r="BV40" s="318"/>
      <c r="BW40" s="318"/>
      <c r="BX40" s="318"/>
      <c r="BY40" s="318"/>
      <c r="BZ40" s="318"/>
      <c r="CA40" s="318"/>
      <c r="CB40" s="318"/>
      <c r="CC40" s="318"/>
      <c r="CD40" s="318"/>
      <c r="CE40" s="318"/>
      <c r="CF40" s="318"/>
      <c r="CG40" s="318"/>
      <c r="CH40" s="318"/>
      <c r="CI40" s="318"/>
      <c r="CJ40" s="318"/>
      <c r="CK40" s="318"/>
      <c r="CL40" s="318"/>
      <c r="CM40" s="318"/>
      <c r="CN40" s="318"/>
      <c r="CO40" s="318"/>
      <c r="CP40" s="318"/>
      <c r="CQ40" s="318"/>
      <c r="CR40" s="318"/>
      <c r="CS40" s="318"/>
      <c r="CT40" s="318"/>
      <c r="CU40" s="318"/>
      <c r="CV40" s="318"/>
      <c r="CW40" s="318"/>
      <c r="CX40" s="318"/>
      <c r="CY40" s="318"/>
      <c r="CZ40" s="318"/>
      <c r="DA40" s="318"/>
      <c r="DB40" s="318"/>
      <c r="DC40" s="318"/>
      <c r="DD40" s="318"/>
      <c r="DE40" s="318"/>
      <c r="DF40" s="318"/>
      <c r="DG40" s="318"/>
      <c r="DH40" s="318"/>
      <c r="DI40" s="318"/>
      <c r="DJ40" s="318"/>
      <c r="DK40" s="318"/>
      <c r="DL40" s="318"/>
      <c r="DM40" s="318"/>
      <c r="DN40" s="318"/>
      <c r="DO40" s="318"/>
      <c r="DP40" s="318"/>
      <c r="DQ40" s="318"/>
      <c r="DR40" s="318"/>
      <c r="DS40" s="318"/>
      <c r="DT40" s="318"/>
      <c r="DU40" s="318"/>
      <c r="DV40" s="318"/>
      <c r="DW40" s="318"/>
      <c r="DX40" s="318"/>
      <c r="DY40" s="318"/>
      <c r="DZ40" s="318"/>
      <c r="EA40" s="318"/>
      <c r="EB40" s="318"/>
      <c r="EC40" s="318"/>
      <c r="ED40" s="318"/>
      <c r="EE40" s="318"/>
      <c r="EF40" s="318"/>
      <c r="EG40" s="318"/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/>
      <c r="EU40" s="318"/>
      <c r="EV40" s="318"/>
      <c r="EW40" s="318"/>
      <c r="EX40" s="318"/>
      <c r="EY40" s="318"/>
      <c r="EZ40" s="318"/>
      <c r="FA40" s="318"/>
      <c r="FB40" s="318"/>
      <c r="FC40" s="318"/>
      <c r="FD40" s="318"/>
      <c r="FE40" s="318"/>
      <c r="FF40" s="318"/>
      <c r="FG40" s="318"/>
      <c r="FH40" s="318"/>
      <c r="FI40" s="318"/>
      <c r="FJ40" s="318"/>
      <c r="FK40" s="318"/>
      <c r="FL40" s="318"/>
      <c r="FM40" s="318"/>
      <c r="FN40" s="318"/>
      <c r="FO40" s="318"/>
      <c r="FP40" s="318"/>
      <c r="FQ40" s="318"/>
      <c r="FR40" s="318"/>
      <c r="FS40" s="318"/>
      <c r="FT40" s="318"/>
      <c r="FU40" s="318"/>
      <c r="FV40" s="318"/>
      <c r="FW40" s="318"/>
      <c r="FX40" s="318"/>
      <c r="FY40" s="318"/>
      <c r="FZ40" s="318"/>
      <c r="GA40" s="318"/>
      <c r="GB40" s="318"/>
      <c r="GC40" s="318"/>
      <c r="GD40" s="318"/>
      <c r="GE40" s="318"/>
      <c r="GF40" s="318"/>
      <c r="GG40" s="318"/>
      <c r="GH40" s="318"/>
      <c r="GI40" s="318"/>
      <c r="GJ40" s="318"/>
      <c r="GK40" s="318"/>
      <c r="GL40" s="318"/>
      <c r="GM40" s="318"/>
      <c r="GN40" s="318"/>
      <c r="GO40" s="318"/>
      <c r="GP40" s="318"/>
      <c r="GQ40" s="318"/>
      <c r="GR40" s="318"/>
      <c r="GS40" s="318"/>
      <c r="GT40" s="318"/>
      <c r="GU40" s="318"/>
      <c r="GV40" s="318"/>
      <c r="GW40" s="318"/>
      <c r="GX40" s="318"/>
      <c r="GY40" s="318"/>
      <c r="GZ40" s="318"/>
      <c r="HA40" s="318"/>
      <c r="HB40" s="318"/>
      <c r="HC40" s="318"/>
      <c r="HD40" s="318"/>
      <c r="HE40" s="318"/>
      <c r="HF40" s="318"/>
      <c r="HG40" s="318"/>
      <c r="HH40" s="318"/>
      <c r="HI40" s="318"/>
      <c r="HJ40" s="318"/>
      <c r="HK40" s="318"/>
      <c r="HL40" s="318"/>
      <c r="HM40" s="318"/>
      <c r="HN40" s="318"/>
      <c r="HO40" s="318"/>
      <c r="HP40" s="318"/>
      <c r="HQ40" s="318"/>
      <c r="HR40" s="318"/>
      <c r="HS40" s="318"/>
      <c r="HT40" s="318"/>
      <c r="HU40" s="318"/>
      <c r="HV40" s="318"/>
      <c r="HW40" s="318"/>
      <c r="HX40" s="318"/>
      <c r="HY40" s="318"/>
      <c r="HZ40" s="318"/>
      <c r="IA40" s="318"/>
      <c r="IB40" s="318"/>
      <c r="IC40" s="318"/>
      <c r="ID40" s="318"/>
      <c r="IE40" s="318"/>
      <c r="IF40" s="318"/>
      <c r="IG40" s="318"/>
      <c r="IH40" s="318"/>
      <c r="II40" s="318"/>
      <c r="IJ40" s="318"/>
      <c r="IK40" s="318"/>
      <c r="IL40" s="318"/>
      <c r="IM40" s="318"/>
      <c r="IN40" s="318"/>
      <c r="IO40" s="318"/>
      <c r="IP40" s="318"/>
      <c r="IQ40" s="318"/>
      <c r="IR40" s="318"/>
      <c r="IS40" s="318"/>
      <c r="IT40" s="318"/>
      <c r="IU40" s="318"/>
      <c r="IV40" s="318"/>
      <c r="IW40" s="318"/>
    </row>
    <row r="41" customFormat="false" ht="12.75" hidden="false" customHeight="false" outlineLevel="0" collapsed="false">
      <c r="A41" s="310"/>
      <c r="B41" s="323"/>
      <c r="K41" s="326"/>
    </row>
    <row r="42" customFormat="false" ht="12.75" hidden="false" customHeight="false" outlineLevel="0" collapsed="false">
      <c r="A42" s="330" t="s">
        <v>283</v>
      </c>
      <c r="B42" s="330"/>
      <c r="D42" s="181" t="n">
        <f aca="false">-Assumptions!$B$68*Assumptions!D11</f>
        <v>-12500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331"/>
    </row>
    <row r="43" customFormat="false" ht="12.75" hidden="false" customHeight="false" outlineLevel="0" collapsed="false">
      <c r="A43" s="330"/>
      <c r="B43" s="330"/>
      <c r="D43" s="181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</row>
    <row r="44" customFormat="false" ht="12.75" hidden="false" customHeight="false" outlineLevel="0" collapsed="false">
      <c r="A44" s="333"/>
      <c r="B44" s="333"/>
      <c r="C44" s="333"/>
      <c r="D44" s="334"/>
    </row>
    <row r="45" customFormat="false" ht="12.75" hidden="false" customHeight="false" outlineLevel="0" collapsed="false">
      <c r="A45" s="323" t="s">
        <v>284</v>
      </c>
      <c r="B45" s="335"/>
      <c r="D45" s="317"/>
      <c r="E45" s="317"/>
      <c r="F45" s="317"/>
      <c r="G45" s="317"/>
      <c r="H45" s="317"/>
      <c r="I45" s="317"/>
      <c r="J45" s="326"/>
    </row>
    <row r="46" customFormat="false" ht="12.75" hidden="false" customHeight="false" outlineLevel="0" collapsed="false">
      <c r="A46" s="1" t="s">
        <v>285</v>
      </c>
      <c r="D46" s="332" t="n">
        <f aca="false">D42+D40</f>
        <v>-13482.5424064595</v>
      </c>
      <c r="E46" s="332" t="n">
        <f aca="false">E42+E40</f>
        <v>-151.874782788532</v>
      </c>
      <c r="F46" s="332" t="n">
        <f aca="false">F42+F40</f>
        <v>-168.062442718456</v>
      </c>
      <c r="G46" s="332" t="n">
        <f aca="false">G42+G40</f>
        <v>3296.41122833733</v>
      </c>
      <c r="H46" s="332" t="n">
        <f aca="false">H42+H40</f>
        <v>6995.20976891055</v>
      </c>
      <c r="I46" s="332" t="n">
        <f aca="false">I42+I40</f>
        <v>7163.29427488644</v>
      </c>
      <c r="J46" s="332" t="n">
        <f aca="false">J42+J40</f>
        <v>7401.92667242496</v>
      </c>
      <c r="K46" s="332" t="n">
        <f aca="false">K42+K40</f>
        <v>7706.76120139744</v>
      </c>
      <c r="L46" s="332" t="n">
        <f aca="false">L42+L40</f>
        <v>8200.46929969608</v>
      </c>
      <c r="M46" s="332" t="n">
        <f aca="false">M42+M40</f>
        <v>8507.79971473307</v>
      </c>
      <c r="N46" s="332" t="n">
        <f aca="false">N42+N40</f>
        <v>9017.20953855062</v>
      </c>
      <c r="O46" s="332" t="n">
        <f aca="false">O42+O40</f>
        <v>9088.34392182239</v>
      </c>
      <c r="P46" s="332" t="n">
        <f aca="false">P42+P40</f>
        <v>9630.50987038088</v>
      </c>
      <c r="Q46" s="332" t="n">
        <f aca="false">Q42+Q40</f>
        <v>9966.88321884924</v>
      </c>
      <c r="R46" s="332" t="n">
        <f aca="false">R42+R40</f>
        <v>10296.6414200932</v>
      </c>
      <c r="S46" s="332" t="n">
        <f aca="false">S42+S40</f>
        <v>10053.5115896024</v>
      </c>
      <c r="T46" s="332" t="n">
        <f aca="false">T42+T40</f>
        <v>9816.44216541885</v>
      </c>
      <c r="U46" s="332" t="n">
        <f aca="false">U42+U40</f>
        <v>10150.9475981575</v>
      </c>
      <c r="V46" s="332" t="n">
        <f aca="false">V42+V40</f>
        <v>10478.6765047271</v>
      </c>
      <c r="W46" s="332" t="n">
        <f aca="false">W42+W40</f>
        <v>10766.4712944906</v>
      </c>
      <c r="X46" s="332" t="n">
        <f aca="false">X42+X40</f>
        <v>12988.3807943084</v>
      </c>
      <c r="Y46" s="332" t="n">
        <f aca="false">Y42+Y40</f>
        <v>13157.2793440668</v>
      </c>
    </row>
    <row r="47" customFormat="false" ht="12.75" hidden="false" customHeight="false" outlineLevel="0" collapsed="false">
      <c r="A47" s="1" t="s">
        <v>17</v>
      </c>
      <c r="D47" s="336" t="e">
        <f aca="false">([1]!xirr,D46:Y46,D33:Y33)</f>
        <v>#VALUE!</v>
      </c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</row>
    <row r="49" customFormat="false" ht="12.75" hidden="false" customHeight="false" outlineLevel="0" collapsed="false">
      <c r="A49" s="323" t="s">
        <v>286</v>
      </c>
    </row>
    <row r="50" customFormat="false" ht="12.75" hidden="false" customHeight="false" outlineLevel="0" collapsed="false">
      <c r="A50" s="1" t="s">
        <v>285</v>
      </c>
      <c r="D50" s="332" t="n">
        <f aca="false">D46</f>
        <v>-13482.5424064595</v>
      </c>
      <c r="E50" s="332" t="n">
        <f aca="false">E46</f>
        <v>-151.874782788532</v>
      </c>
      <c r="F50" s="332" t="n">
        <f aca="false">F46</f>
        <v>-168.062442718456</v>
      </c>
      <c r="G50" s="332" t="n">
        <f aca="false">G46</f>
        <v>3296.41122833733</v>
      </c>
      <c r="H50" s="332" t="n">
        <f aca="false">H46</f>
        <v>6995.20976891055</v>
      </c>
      <c r="I50" s="332" t="n">
        <f aca="false">I46</f>
        <v>7163.29427488644</v>
      </c>
      <c r="J50" s="332" t="n">
        <f aca="false">J46</f>
        <v>7401.92667242496</v>
      </c>
      <c r="K50" s="332" t="n">
        <f aca="false">K46</f>
        <v>7706.76120139744</v>
      </c>
      <c r="L50" s="332" t="n">
        <f aca="false">L46</f>
        <v>8200.46929969608</v>
      </c>
      <c r="M50" s="332" t="n">
        <f aca="false">M46</f>
        <v>8507.79971473307</v>
      </c>
      <c r="N50" s="332" t="n">
        <f aca="false">N46</f>
        <v>9017.20953855062</v>
      </c>
      <c r="O50" s="332" t="n">
        <f aca="false">O46</f>
        <v>9088.34392182239</v>
      </c>
      <c r="P50" s="332" t="n">
        <f aca="false">P46</f>
        <v>9630.50987038088</v>
      </c>
      <c r="Q50" s="332" t="n">
        <f aca="false">Q46</f>
        <v>9966.88321884924</v>
      </c>
      <c r="R50" s="332" t="n">
        <f aca="false">R46</f>
        <v>10296.6414200932</v>
      </c>
      <c r="S50" s="332" t="n">
        <f aca="false">S46</f>
        <v>10053.5115896024</v>
      </c>
      <c r="T50" s="332" t="n">
        <f aca="false">T46</f>
        <v>9816.44216541885</v>
      </c>
      <c r="U50" s="332" t="n">
        <f aca="false">U46</f>
        <v>10150.9475981575</v>
      </c>
      <c r="V50" s="332" t="n">
        <f aca="false">V46</f>
        <v>10478.6765047271</v>
      </c>
      <c r="W50" s="332" t="n">
        <f aca="false">W46</f>
        <v>10766.4712944906</v>
      </c>
      <c r="X50" s="332" t="n">
        <f aca="false">X46</f>
        <v>12988.3807943084</v>
      </c>
      <c r="Y50" s="332" t="n">
        <f aca="false">Y46</f>
        <v>13157.2793440668</v>
      </c>
    </row>
    <row r="51" customFormat="false" ht="12.75" hidden="false" customHeight="false" outlineLevel="0" collapsed="false">
      <c r="A51" s="1" t="s">
        <v>126</v>
      </c>
      <c r="D51" s="337" t="n">
        <v>0</v>
      </c>
      <c r="E51" s="337" t="n">
        <v>0</v>
      </c>
      <c r="F51" s="337" t="n">
        <v>0</v>
      </c>
      <c r="G51" s="337" t="n">
        <v>0</v>
      </c>
      <c r="H51" s="337" t="n">
        <v>0</v>
      </c>
      <c r="I51" s="337" t="n">
        <v>0</v>
      </c>
      <c r="J51" s="337" t="n">
        <v>0</v>
      </c>
      <c r="K51" s="337" t="n">
        <v>0</v>
      </c>
      <c r="L51" s="337" t="n">
        <v>0</v>
      </c>
      <c r="M51" s="337" t="n">
        <v>0</v>
      </c>
      <c r="N51" s="337" t="n">
        <v>0</v>
      </c>
      <c r="O51" s="337" t="n">
        <v>0</v>
      </c>
      <c r="P51" s="337" t="n">
        <v>0</v>
      </c>
      <c r="Q51" s="337" t="n">
        <v>0</v>
      </c>
      <c r="R51" s="337" t="n">
        <v>0</v>
      </c>
      <c r="S51" s="337" t="n">
        <v>0</v>
      </c>
      <c r="T51" s="337" t="n">
        <v>0</v>
      </c>
      <c r="U51" s="337" t="n">
        <v>0</v>
      </c>
      <c r="V51" s="337" t="n">
        <v>0</v>
      </c>
      <c r="W51" s="337" t="n">
        <v>0</v>
      </c>
      <c r="X51" s="337" t="n">
        <v>0</v>
      </c>
      <c r="Y51" s="338" t="n">
        <v>0</v>
      </c>
    </row>
    <row r="52" customFormat="false" ht="12.75" hidden="false" customHeight="false" outlineLevel="0" collapsed="false">
      <c r="A52" s="1" t="s">
        <v>287</v>
      </c>
      <c r="D52" s="332" t="n">
        <f aca="false">D50+D51</f>
        <v>-13482.5424064595</v>
      </c>
      <c r="E52" s="332" t="n">
        <f aca="false">E50+E51</f>
        <v>-151.874782788532</v>
      </c>
      <c r="F52" s="332" t="n">
        <f aca="false">F50+F51</f>
        <v>-168.062442718456</v>
      </c>
      <c r="G52" s="332" t="n">
        <f aca="false">G50+G51</f>
        <v>3296.41122833733</v>
      </c>
      <c r="H52" s="332" t="n">
        <f aca="false">H50+H51</f>
        <v>6995.20976891055</v>
      </c>
      <c r="I52" s="332" t="n">
        <f aca="false">I50+I51</f>
        <v>7163.29427488644</v>
      </c>
      <c r="J52" s="332" t="n">
        <f aca="false">J50+J51</f>
        <v>7401.92667242496</v>
      </c>
      <c r="K52" s="332" t="n">
        <f aca="false">K50+K51</f>
        <v>7706.76120139744</v>
      </c>
      <c r="L52" s="332" t="n">
        <f aca="false">L50+L51</f>
        <v>8200.46929969608</v>
      </c>
      <c r="M52" s="332" t="n">
        <f aca="false">M50+M51</f>
        <v>8507.79971473307</v>
      </c>
      <c r="N52" s="332" t="n">
        <f aca="false">N50+N51</f>
        <v>9017.20953855062</v>
      </c>
      <c r="O52" s="332" t="n">
        <f aca="false">O50+O51</f>
        <v>9088.34392182239</v>
      </c>
      <c r="P52" s="332" t="n">
        <f aca="false">P50+P51</f>
        <v>9630.50987038088</v>
      </c>
      <c r="Q52" s="332" t="n">
        <f aca="false">Q50+Q51</f>
        <v>9966.88321884924</v>
      </c>
      <c r="R52" s="332" t="n">
        <f aca="false">R50+R51</f>
        <v>10296.6414200932</v>
      </c>
      <c r="S52" s="332" t="n">
        <f aca="false">S50+S51</f>
        <v>10053.5115896024</v>
      </c>
      <c r="T52" s="332" t="n">
        <f aca="false">T50+T51</f>
        <v>9816.44216541885</v>
      </c>
      <c r="U52" s="332" t="n">
        <f aca="false">U50+U51</f>
        <v>10150.9475981575</v>
      </c>
      <c r="V52" s="332" t="n">
        <f aca="false">V50+V51</f>
        <v>10478.6765047271</v>
      </c>
      <c r="W52" s="332" t="n">
        <f aca="false">W50+W51</f>
        <v>10766.4712944906</v>
      </c>
      <c r="X52" s="332" t="n">
        <f aca="false">X50+X51</f>
        <v>12988.3807943084</v>
      </c>
      <c r="Y52" s="332" t="n">
        <f aca="false">Y50+Y51</f>
        <v>13157.2793440668</v>
      </c>
    </row>
    <row r="53" customFormat="false" ht="12.75" hidden="false" customHeight="false" outlineLevel="0" collapsed="false">
      <c r="A53" s="52" t="s">
        <v>288</v>
      </c>
      <c r="D53" s="336" t="e">
        <f aca="false">([1]!xirr,D52:Y52,D33:Y33)</f>
        <v>#VALUE!</v>
      </c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</row>
    <row r="54" customFormat="false" ht="12.75" hidden="false" customHeight="false" outlineLevel="0" collapsed="false">
      <c r="A54" s="52"/>
      <c r="C54" s="339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false" showOutlineSymbols="true" defaultGridColor="true" view="normal" topLeftCell="N1" colorId="64" zoomScale="75" zoomScaleNormal="75" zoomScalePageLayoutView="100" workbookViewId="0">
      <selection pane="topLeft" activeCell="W19" activeCellId="0" sqref="W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74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301"/>
    </row>
    <row r="2" customFormat="false" ht="18.75" hidden="false" customHeight="false" outlineLevel="0" collapsed="false">
      <c r="A2" s="301"/>
    </row>
    <row r="4" customFormat="false" ht="15.75" hidden="false" customHeight="false" outlineLevel="0" collapsed="false">
      <c r="A4" s="340"/>
      <c r="C4" s="341" t="s">
        <v>181</v>
      </c>
      <c r="D4" s="341"/>
      <c r="E4" s="341"/>
      <c r="F4" s="341"/>
      <c r="I4" s="341" t="s">
        <v>182</v>
      </c>
      <c r="J4" s="341"/>
      <c r="K4" s="341"/>
      <c r="L4" s="341"/>
      <c r="O4" s="341" t="s">
        <v>183</v>
      </c>
      <c r="P4" s="341"/>
      <c r="Q4" s="341"/>
      <c r="R4" s="341"/>
    </row>
    <row r="5" customFormat="false" ht="12.75" hidden="false" customHeight="false" outlineLevel="0" collapsed="false">
      <c r="A5" s="340"/>
      <c r="C5" s="342" t="s">
        <v>289</v>
      </c>
      <c r="D5" s="343"/>
      <c r="E5" s="343"/>
      <c r="F5" s="344" t="n">
        <f aca="false">Assumptions!B57</f>
        <v>0.04</v>
      </c>
      <c r="G5" s="345"/>
      <c r="H5" s="84"/>
      <c r="I5" s="346" t="s">
        <v>290</v>
      </c>
      <c r="J5" s="347"/>
      <c r="K5" s="347"/>
      <c r="L5" s="344" t="n">
        <f aca="false">Assumptions!C57</f>
        <v>0.04</v>
      </c>
      <c r="M5" s="84"/>
      <c r="N5" s="84"/>
      <c r="O5" s="346" t="s">
        <v>291</v>
      </c>
      <c r="P5" s="347"/>
      <c r="Q5" s="347"/>
      <c r="R5" s="344" t="n">
        <f aca="false">Assumptions!D57</f>
        <v>0.04</v>
      </c>
      <c r="S5" s="84"/>
      <c r="T5" s="84"/>
      <c r="U5" s="84"/>
      <c r="V5" s="84"/>
      <c r="W5" s="84"/>
    </row>
    <row r="6" customFormat="false" ht="12.75" hidden="false" customHeight="false" outlineLevel="0" collapsed="false">
      <c r="A6" s="340"/>
      <c r="C6" s="342" t="s">
        <v>292</v>
      </c>
      <c r="D6" s="343"/>
      <c r="E6" s="343"/>
      <c r="F6" s="344" t="n">
        <f aca="false">Assumptions!B58</f>
        <v>0.04</v>
      </c>
      <c r="G6" s="84"/>
      <c r="H6" s="84"/>
      <c r="I6" s="346" t="s">
        <v>293</v>
      </c>
      <c r="J6" s="347"/>
      <c r="K6" s="347"/>
      <c r="L6" s="344" t="n">
        <f aca="false">Assumptions!C58</f>
        <v>0.04</v>
      </c>
      <c r="M6" s="84"/>
      <c r="N6" s="84"/>
      <c r="O6" s="346" t="s">
        <v>293</v>
      </c>
      <c r="P6" s="347"/>
      <c r="Q6" s="347"/>
      <c r="R6" s="344" t="n">
        <f aca="false">Assumptions!D58</f>
        <v>0.04</v>
      </c>
      <c r="S6" s="84"/>
      <c r="T6" s="84"/>
      <c r="U6" s="84"/>
      <c r="V6" s="84"/>
      <c r="W6" s="84"/>
    </row>
    <row r="7" customFormat="false" ht="12.75" hidden="false" customHeight="false" outlineLevel="0" collapsed="false">
      <c r="A7" s="340"/>
      <c r="C7" s="348" t="s">
        <v>294</v>
      </c>
      <c r="D7" s="349"/>
      <c r="E7" s="349"/>
      <c r="F7" s="350" t="n">
        <f aca="false">F6+F5</f>
        <v>0.08</v>
      </c>
      <c r="I7" s="348" t="s">
        <v>294</v>
      </c>
      <c r="J7" s="349"/>
      <c r="K7" s="349"/>
      <c r="L7" s="350" t="n">
        <f aca="false">L5+L6</f>
        <v>0.08</v>
      </c>
      <c r="O7" s="348" t="s">
        <v>294</v>
      </c>
      <c r="P7" s="349"/>
      <c r="Q7" s="349"/>
      <c r="R7" s="350" t="n">
        <f aca="false">R5+R6</f>
        <v>0.08</v>
      </c>
    </row>
    <row r="8" customFormat="false" ht="15.75" hidden="false" customHeight="false" outlineLevel="0" collapsed="false">
      <c r="A8" s="340"/>
      <c r="C8" s="351" t="s">
        <v>295</v>
      </c>
      <c r="D8" s="352"/>
      <c r="E8" s="353"/>
      <c r="F8" s="354" t="n">
        <f aca="false">(Assumptions!B53-Assumptions!B47)/365.25</f>
        <v>2.99520876112252</v>
      </c>
      <c r="I8" s="351" t="s">
        <v>296</v>
      </c>
      <c r="J8" s="355"/>
      <c r="K8" s="355"/>
      <c r="L8" s="354" t="n">
        <f aca="false">(Assumptions!C53-Assumptions!B47)/365.25</f>
        <v>9.9958932238193</v>
      </c>
      <c r="O8" s="351" t="s">
        <v>296</v>
      </c>
      <c r="P8" s="355"/>
      <c r="Q8" s="355"/>
      <c r="R8" s="354" t="n">
        <f aca="false">(Assumptions!D53-Assumptions!B47)/365.25</f>
        <v>19.9972621492129</v>
      </c>
    </row>
    <row r="9" customFormat="false" ht="15.75" hidden="false" customHeight="false" outlineLevel="0" collapsed="false">
      <c r="A9" s="340"/>
      <c r="C9" s="356" t="s">
        <v>297</v>
      </c>
      <c r="D9" s="357"/>
      <c r="E9" s="357"/>
      <c r="F9" s="358" t="n">
        <f aca="false">B123</f>
        <v>9.7625</v>
      </c>
      <c r="I9" s="356" t="s">
        <v>298</v>
      </c>
      <c r="J9" s="359"/>
      <c r="K9" s="359"/>
      <c r="L9" s="358" t="n">
        <f aca="false">B124</f>
        <v>9.7625</v>
      </c>
      <c r="O9" s="356" t="s">
        <v>299</v>
      </c>
      <c r="P9" s="359"/>
      <c r="Q9" s="359"/>
      <c r="R9" s="358" t="n">
        <f aca="false">B125</f>
        <v>9.7625</v>
      </c>
    </row>
    <row r="10" customFormat="false" ht="12.75" hidden="false" customHeight="false" outlineLevel="0" collapsed="false">
      <c r="A10" s="340"/>
      <c r="C10" s="360" t="s">
        <v>300</v>
      </c>
      <c r="D10" s="361"/>
      <c r="E10" s="361"/>
      <c r="F10" s="362" t="n">
        <f aca="false">Assumptions!B51</f>
        <v>15000</v>
      </c>
      <c r="G10" s="84"/>
      <c r="H10" s="84"/>
      <c r="I10" s="363" t="s">
        <v>300</v>
      </c>
      <c r="J10" s="364"/>
      <c r="K10" s="364"/>
      <c r="L10" s="362" t="n">
        <f aca="false">Assumptions!C51</f>
        <v>25000</v>
      </c>
      <c r="M10" s="84"/>
      <c r="N10" s="84"/>
      <c r="O10" s="363" t="s">
        <v>300</v>
      </c>
      <c r="P10" s="364"/>
      <c r="Q10" s="364"/>
      <c r="R10" s="362" t="n">
        <f aca="false">Assumptions!D51</f>
        <v>40000</v>
      </c>
      <c r="S10" s="84"/>
      <c r="T10" s="84"/>
    </row>
    <row r="11" customFormat="false" ht="12.75" hidden="false" customHeight="false" outlineLevel="0" collapsed="false">
      <c r="A11" s="340"/>
      <c r="C11" s="365"/>
      <c r="D11" s="343"/>
      <c r="E11" s="343"/>
      <c r="F11" s="366"/>
      <c r="I11" s="365"/>
      <c r="J11" s="365"/>
      <c r="K11" s="365"/>
      <c r="L11" s="366"/>
      <c r="O11" s="365"/>
      <c r="P11" s="365"/>
      <c r="Q11" s="365"/>
      <c r="R11" s="0"/>
    </row>
    <row r="12" customFormat="false" ht="12.75" hidden="false" customHeight="false" outlineLevel="0" collapsed="false">
      <c r="A12" s="340"/>
      <c r="C12" s="365"/>
      <c r="D12" s="343"/>
      <c r="E12" s="343"/>
      <c r="F12" s="366"/>
      <c r="I12" s="365"/>
      <c r="J12" s="365"/>
      <c r="K12" s="365"/>
      <c r="L12" s="366"/>
      <c r="O12" s="365"/>
      <c r="P12" s="365"/>
      <c r="Q12" s="365"/>
      <c r="R12" s="366"/>
    </row>
    <row r="13" customFormat="false" ht="12.75" hidden="false" customHeight="false" outlineLevel="0" collapsed="false">
      <c r="A13" s="340"/>
      <c r="C13" s="365"/>
      <c r="D13" s="343"/>
      <c r="E13" s="343"/>
      <c r="F13" s="0"/>
      <c r="I13" s="365"/>
      <c r="J13" s="365"/>
      <c r="K13" s="365"/>
      <c r="L13" s="366"/>
      <c r="O13" s="365"/>
      <c r="P13" s="365"/>
      <c r="Q13" s="365"/>
      <c r="R13" s="0"/>
    </row>
    <row r="14" customFormat="false" ht="18.75" hidden="false" customHeight="false" outlineLevel="0" collapsed="false">
      <c r="A14" s="367" t="str">
        <f aca="false">Assumptions!A3</f>
        <v>PROJECT NAME:</v>
      </c>
      <c r="C14" s="365"/>
      <c r="D14" s="343"/>
      <c r="E14" s="343"/>
      <c r="F14" s="366"/>
      <c r="G14" s="84"/>
      <c r="H14" s="84"/>
      <c r="I14" s="267"/>
      <c r="J14" s="267"/>
      <c r="K14" s="267"/>
      <c r="L14" s="366"/>
      <c r="M14" s="84"/>
      <c r="N14" s="84"/>
      <c r="O14" s="267"/>
      <c r="P14" s="267"/>
      <c r="Q14" s="267"/>
      <c r="R14" s="366"/>
      <c r="S14" s="84"/>
      <c r="T14" s="84"/>
      <c r="U14" s="84"/>
      <c r="V14" s="84"/>
      <c r="W14" s="84"/>
      <c r="X14" s="84"/>
    </row>
    <row r="15" customFormat="false" ht="12.75" hidden="false" customHeight="false" outlineLevel="0" collapsed="false">
      <c r="A15" s="340"/>
      <c r="C15" s="365"/>
      <c r="D15" s="343"/>
      <c r="E15" s="343"/>
      <c r="F15" s="366"/>
      <c r="G15" s="84"/>
      <c r="H15" s="84"/>
      <c r="I15" s="267"/>
      <c r="J15" s="267"/>
      <c r="K15" s="267"/>
      <c r="L15" s="366"/>
      <c r="M15" s="84"/>
      <c r="N15" s="84"/>
      <c r="O15" s="267"/>
      <c r="P15" s="267"/>
      <c r="Q15" s="267"/>
      <c r="R15" s="366"/>
      <c r="S15" s="84"/>
      <c r="T15" s="84"/>
      <c r="U15" s="84"/>
      <c r="V15" s="84"/>
      <c r="W15" s="84"/>
      <c r="X15" s="84"/>
    </row>
    <row r="16" customFormat="false" ht="18.75" hidden="false" customHeight="false" outlineLevel="0" collapsed="false">
      <c r="A16" s="262" t="s">
        <v>301</v>
      </c>
      <c r="C16" s="365"/>
      <c r="D16" s="343"/>
      <c r="E16" s="343"/>
      <c r="F16" s="366"/>
      <c r="I16" s="365"/>
      <c r="J16" s="365"/>
      <c r="K16" s="365"/>
      <c r="L16" s="366"/>
      <c r="O16" s="365"/>
      <c r="P16" s="365"/>
      <c r="Q16" s="365"/>
      <c r="R16" s="366"/>
    </row>
    <row r="17" customFormat="false" ht="12.75" hidden="false" customHeight="false" outlineLevel="0" collapsed="false">
      <c r="A17" s="267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69"/>
      <c r="B18" s="370" t="n">
        <f aca="false">'Power Price Assumption'!F9</f>
        <v>0.5</v>
      </c>
      <c r="C18" s="370" t="n">
        <f aca="false">'Power Price Assumption'!G9</f>
        <v>1.5</v>
      </c>
      <c r="D18" s="370" t="n">
        <f aca="false">'Power Price Assumption'!H9</f>
        <v>2.5</v>
      </c>
      <c r="E18" s="370" t="n">
        <f aca="false">'Power Price Assumption'!I9</f>
        <v>3.5</v>
      </c>
      <c r="F18" s="370" t="n">
        <f aca="false">'Power Price Assumption'!J9</f>
        <v>4.5</v>
      </c>
      <c r="G18" s="370" t="n">
        <f aca="false">'Power Price Assumption'!K9</f>
        <v>5.5</v>
      </c>
      <c r="H18" s="370" t="n">
        <f aca="false">'Power Price Assumption'!L9</f>
        <v>6.5</v>
      </c>
      <c r="I18" s="370" t="n">
        <f aca="false">'Power Price Assumption'!M9</f>
        <v>7.5</v>
      </c>
      <c r="J18" s="370" t="n">
        <f aca="false">'Power Price Assumption'!N9</f>
        <v>8.5</v>
      </c>
      <c r="K18" s="370" t="n">
        <f aca="false">'Power Price Assumption'!O9</f>
        <v>9.5</v>
      </c>
      <c r="L18" s="370" t="n">
        <f aca="false">'Power Price Assumption'!P9</f>
        <v>10.5</v>
      </c>
      <c r="M18" s="370" t="n">
        <f aca="false">'Power Price Assumption'!Q9</f>
        <v>11.5</v>
      </c>
      <c r="N18" s="370" t="n">
        <f aca="false">'Power Price Assumption'!R9</f>
        <v>12.5</v>
      </c>
      <c r="O18" s="370" t="n">
        <f aca="false">'Power Price Assumption'!S9</f>
        <v>13.5</v>
      </c>
      <c r="P18" s="370" t="n">
        <f aca="false">'Power Price Assumption'!T9</f>
        <v>14.5</v>
      </c>
      <c r="Q18" s="370" t="n">
        <f aca="false">'Power Price Assumption'!U9</f>
        <v>15.5</v>
      </c>
      <c r="R18" s="370" t="n">
        <f aca="false">'Power Price Assumption'!V9</f>
        <v>16.5</v>
      </c>
      <c r="S18" s="370" t="n">
        <f aca="false">'Power Price Assumption'!W9</f>
        <v>17.5</v>
      </c>
      <c r="T18" s="370" t="n">
        <f aca="false">'Power Price Assumption'!X9</f>
        <v>18.5</v>
      </c>
      <c r="U18" s="370" t="n">
        <f aca="false">'Power Price Assumption'!Y9</f>
        <v>19.5</v>
      </c>
      <c r="V18" s="370" t="n">
        <f aca="false">'Power Price Assumption'!Z9</f>
        <v>20.5</v>
      </c>
      <c r="W18" s="370" t="n">
        <f aca="false">'Power Price Assumption'!AA9</f>
        <v>21.5</v>
      </c>
      <c r="X18" s="371"/>
      <c r="Y18" s="371"/>
      <c r="Z18" s="371"/>
      <c r="AA18" s="372"/>
      <c r="AB18" s="373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74"/>
      <c r="CB18" s="374"/>
      <c r="CC18" s="374"/>
      <c r="CD18" s="374"/>
      <c r="CE18" s="374"/>
      <c r="CF18" s="374"/>
      <c r="CG18" s="374"/>
      <c r="CH18" s="374"/>
      <c r="CI18" s="374"/>
      <c r="CJ18" s="374"/>
      <c r="CK18" s="374"/>
      <c r="CL18" s="374"/>
      <c r="CM18" s="374"/>
      <c r="CN18" s="374"/>
      <c r="CO18" s="374"/>
      <c r="CP18" s="374"/>
      <c r="CQ18" s="374"/>
      <c r="CR18" s="374"/>
      <c r="CS18" s="374"/>
      <c r="CT18" s="374"/>
      <c r="CU18" s="374"/>
      <c r="CV18" s="374"/>
      <c r="CW18" s="374"/>
      <c r="CX18" s="374"/>
      <c r="CY18" s="374"/>
      <c r="CZ18" s="374"/>
      <c r="DA18" s="374"/>
      <c r="DB18" s="374"/>
      <c r="DC18" s="374"/>
      <c r="DD18" s="374"/>
      <c r="DE18" s="374"/>
      <c r="DF18" s="374"/>
      <c r="DG18" s="374"/>
      <c r="DH18" s="374"/>
      <c r="DI18" s="374"/>
      <c r="DJ18" s="374"/>
      <c r="DK18" s="374"/>
      <c r="DL18" s="374"/>
      <c r="DM18" s="374"/>
      <c r="DN18" s="374"/>
      <c r="DO18" s="374"/>
      <c r="DP18" s="374"/>
      <c r="DQ18" s="374"/>
      <c r="DR18" s="374"/>
      <c r="DS18" s="374"/>
      <c r="DT18" s="374"/>
      <c r="DU18" s="374"/>
      <c r="DV18" s="374"/>
      <c r="DW18" s="374"/>
      <c r="DX18" s="374"/>
      <c r="DY18" s="374"/>
      <c r="DZ18" s="374"/>
      <c r="EA18" s="374"/>
      <c r="EB18" s="374"/>
      <c r="EC18" s="374"/>
      <c r="ED18" s="374"/>
      <c r="EE18" s="374"/>
      <c r="EF18" s="374"/>
      <c r="EG18" s="374"/>
      <c r="EH18" s="374"/>
      <c r="EI18" s="374"/>
      <c r="EJ18" s="374"/>
      <c r="EK18" s="374"/>
      <c r="EL18" s="374"/>
      <c r="EM18" s="374"/>
      <c r="EN18" s="374"/>
      <c r="EO18" s="374"/>
      <c r="EP18" s="374"/>
      <c r="EQ18" s="374"/>
      <c r="ER18" s="374"/>
      <c r="ES18" s="374"/>
      <c r="ET18" s="374"/>
      <c r="EU18" s="374"/>
      <c r="EV18" s="374"/>
      <c r="EW18" s="374"/>
      <c r="EX18" s="374"/>
      <c r="EY18" s="374"/>
      <c r="EZ18" s="374"/>
      <c r="FA18" s="374"/>
      <c r="FB18" s="374"/>
      <c r="FC18" s="374"/>
      <c r="FD18" s="374"/>
      <c r="FE18" s="374"/>
      <c r="FF18" s="374"/>
      <c r="FG18" s="374"/>
      <c r="FH18" s="374"/>
      <c r="FI18" s="374"/>
      <c r="FJ18" s="374"/>
      <c r="FK18" s="374"/>
      <c r="FL18" s="374"/>
      <c r="FM18" s="374"/>
      <c r="FN18" s="374"/>
      <c r="FO18" s="374"/>
      <c r="FP18" s="374"/>
      <c r="FQ18" s="374"/>
      <c r="FR18" s="374"/>
      <c r="FS18" s="374"/>
      <c r="FT18" s="374"/>
      <c r="FU18" s="374"/>
      <c r="FV18" s="374"/>
      <c r="FW18" s="374"/>
      <c r="FX18" s="374"/>
      <c r="FY18" s="374"/>
      <c r="FZ18" s="374"/>
      <c r="GA18" s="374"/>
      <c r="GB18" s="374"/>
      <c r="GC18" s="374"/>
      <c r="GD18" s="374"/>
      <c r="GE18" s="374"/>
      <c r="GF18" s="374"/>
      <c r="GG18" s="374"/>
      <c r="GH18" s="374"/>
      <c r="GI18" s="374"/>
      <c r="GJ18" s="374"/>
      <c r="GK18" s="374"/>
      <c r="GL18" s="374"/>
      <c r="GM18" s="374"/>
      <c r="GN18" s="374"/>
      <c r="GO18" s="374"/>
      <c r="GP18" s="374"/>
      <c r="GQ18" s="374"/>
      <c r="GR18" s="374"/>
      <c r="GS18" s="374"/>
      <c r="GT18" s="374"/>
      <c r="GU18" s="374"/>
      <c r="GV18" s="374"/>
      <c r="GW18" s="374"/>
      <c r="GX18" s="374"/>
      <c r="GY18" s="374"/>
      <c r="GZ18" s="374"/>
      <c r="HA18" s="374"/>
      <c r="HB18" s="374"/>
      <c r="HC18" s="374"/>
      <c r="HD18" s="374"/>
      <c r="HE18" s="374"/>
      <c r="HF18" s="374"/>
      <c r="HG18" s="374"/>
      <c r="HH18" s="374"/>
      <c r="HI18" s="374"/>
      <c r="HJ18" s="374"/>
      <c r="HK18" s="374"/>
      <c r="HL18" s="374"/>
      <c r="HM18" s="374"/>
      <c r="HN18" s="374"/>
      <c r="HO18" s="374"/>
      <c r="HP18" s="374"/>
      <c r="HQ18" s="374"/>
      <c r="HR18" s="374"/>
      <c r="HS18" s="374"/>
      <c r="HT18" s="374"/>
      <c r="HU18" s="374"/>
      <c r="HV18" s="374"/>
      <c r="HW18" s="374"/>
      <c r="HX18" s="374"/>
      <c r="HY18" s="374"/>
      <c r="HZ18" s="374"/>
      <c r="IA18" s="374"/>
      <c r="IB18" s="374"/>
      <c r="IC18" s="374"/>
      <c r="ID18" s="374"/>
      <c r="IE18" s="374"/>
      <c r="IF18" s="374"/>
      <c r="IG18" s="374"/>
      <c r="IH18" s="374"/>
      <c r="II18" s="374"/>
      <c r="IJ18" s="374"/>
      <c r="IK18" s="374"/>
      <c r="IL18" s="374"/>
      <c r="IM18" s="374"/>
      <c r="IN18" s="374"/>
      <c r="IO18" s="374"/>
      <c r="IP18" s="374"/>
      <c r="IQ18" s="374"/>
      <c r="IR18" s="374"/>
      <c r="IS18" s="374"/>
      <c r="IT18" s="374"/>
      <c r="IU18" s="374"/>
      <c r="IV18" s="374"/>
      <c r="IW18" s="374"/>
    </row>
    <row r="19" customFormat="false" ht="13.5" hidden="false" customHeight="false" outlineLevel="0" collapsed="false">
      <c r="A19" s="264" t="s">
        <v>241</v>
      </c>
      <c r="B19" s="375" t="n">
        <f aca="false">'Power Price Assumption'!F10</f>
        <v>2002</v>
      </c>
      <c r="C19" s="375" t="n">
        <f aca="false">'Power Price Assumption'!G10</f>
        <v>2003</v>
      </c>
      <c r="D19" s="375" t="n">
        <f aca="false">'Power Price Assumption'!H10</f>
        <v>2004</v>
      </c>
      <c r="E19" s="375" t="n">
        <f aca="false">'Power Price Assumption'!I10</f>
        <v>2005</v>
      </c>
      <c r="F19" s="375" t="n">
        <f aca="false">'Power Price Assumption'!J10</f>
        <v>2006</v>
      </c>
      <c r="G19" s="375" t="n">
        <f aca="false">'Power Price Assumption'!K10</f>
        <v>2007</v>
      </c>
      <c r="H19" s="375" t="n">
        <f aca="false">'Power Price Assumption'!L10</f>
        <v>2008</v>
      </c>
      <c r="I19" s="375" t="n">
        <f aca="false">'Power Price Assumption'!M10</f>
        <v>2009</v>
      </c>
      <c r="J19" s="375" t="n">
        <f aca="false">'Power Price Assumption'!N10</f>
        <v>2010</v>
      </c>
      <c r="K19" s="375" t="n">
        <f aca="false">'Power Price Assumption'!O10</f>
        <v>2011</v>
      </c>
      <c r="L19" s="375" t="n">
        <f aca="false">'Power Price Assumption'!P10</f>
        <v>2012</v>
      </c>
      <c r="M19" s="375" t="n">
        <f aca="false">'Power Price Assumption'!Q10</f>
        <v>2013</v>
      </c>
      <c r="N19" s="375" t="n">
        <f aca="false">'Power Price Assumption'!R10</f>
        <v>2014</v>
      </c>
      <c r="O19" s="375" t="n">
        <f aca="false">'Power Price Assumption'!S10</f>
        <v>2015</v>
      </c>
      <c r="P19" s="375" t="n">
        <f aca="false">'Power Price Assumption'!T10</f>
        <v>2016</v>
      </c>
      <c r="Q19" s="375" t="n">
        <f aca="false">'Power Price Assumption'!U10</f>
        <v>2017</v>
      </c>
      <c r="R19" s="375" t="n">
        <f aca="false">'Power Price Assumption'!V10</f>
        <v>2018</v>
      </c>
      <c r="S19" s="375" t="n">
        <f aca="false">'Power Price Assumption'!W10</f>
        <v>2019</v>
      </c>
      <c r="T19" s="375" t="n">
        <f aca="false">'Power Price Assumption'!X10</f>
        <v>2020</v>
      </c>
      <c r="U19" s="375" t="n">
        <f aca="false">'Power Price Assumption'!Y10</f>
        <v>2021</v>
      </c>
      <c r="V19" s="375" t="n">
        <f aca="false">'Power Price Assumption'!Z10</f>
        <v>2022</v>
      </c>
      <c r="W19" s="375" t="n">
        <v>2023</v>
      </c>
      <c r="X19" s="0"/>
      <c r="Y19" s="0"/>
      <c r="Z19" s="0"/>
      <c r="AA19" s="318"/>
      <c r="AB19" s="327"/>
      <c r="AC19" s="318"/>
      <c r="AD19" s="318"/>
      <c r="AE19" s="318"/>
      <c r="AF19" s="318"/>
      <c r="AG19" s="318"/>
      <c r="AH19" s="318"/>
    </row>
    <row r="20" customFormat="false" ht="12.75" hidden="false" customHeight="false" outlineLevel="0" collapsed="false">
      <c r="A20" s="376"/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0"/>
      <c r="Y20" s="0"/>
      <c r="Z20" s="0"/>
      <c r="AA20" s="266"/>
      <c r="AB20" s="327"/>
      <c r="AC20" s="318"/>
      <c r="AD20" s="318"/>
      <c r="AE20" s="318"/>
      <c r="AF20" s="318"/>
      <c r="AG20" s="318"/>
      <c r="AH20" s="318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  <c r="CF20" s="377"/>
      <c r="CG20" s="377"/>
      <c r="CH20" s="377"/>
      <c r="CI20" s="377"/>
      <c r="CJ20" s="377"/>
      <c r="CK20" s="377"/>
      <c r="CL20" s="377"/>
      <c r="CM20" s="377"/>
      <c r="CN20" s="377"/>
      <c r="CO20" s="377"/>
      <c r="CP20" s="377"/>
      <c r="CQ20" s="377"/>
      <c r="CR20" s="377"/>
      <c r="CS20" s="377"/>
      <c r="CT20" s="377"/>
      <c r="CU20" s="377"/>
      <c r="CV20" s="377"/>
      <c r="CW20" s="377"/>
      <c r="CX20" s="377"/>
      <c r="CY20" s="377"/>
      <c r="CZ20" s="377"/>
      <c r="DA20" s="377"/>
      <c r="DB20" s="377"/>
      <c r="DC20" s="377"/>
      <c r="DD20" s="377"/>
      <c r="DE20" s="377"/>
      <c r="DF20" s="377"/>
      <c r="DG20" s="377"/>
      <c r="DH20" s="377"/>
      <c r="DI20" s="377"/>
      <c r="DJ20" s="377"/>
      <c r="DK20" s="377"/>
      <c r="DL20" s="377"/>
      <c r="DM20" s="377"/>
      <c r="DN20" s="377"/>
      <c r="DO20" s="377"/>
      <c r="DP20" s="377"/>
      <c r="DQ20" s="377"/>
      <c r="DR20" s="377"/>
      <c r="DS20" s="377"/>
      <c r="DT20" s="377"/>
      <c r="DU20" s="377"/>
      <c r="DV20" s="377"/>
      <c r="DW20" s="377"/>
      <c r="DX20" s="377"/>
      <c r="DY20" s="377"/>
      <c r="DZ20" s="377"/>
      <c r="EA20" s="377"/>
      <c r="EB20" s="377"/>
      <c r="EC20" s="377"/>
      <c r="ED20" s="377"/>
      <c r="EE20" s="377"/>
      <c r="EF20" s="377"/>
      <c r="EG20" s="377"/>
      <c r="EH20" s="377"/>
      <c r="EI20" s="377"/>
      <c r="EJ20" s="377"/>
      <c r="EK20" s="377"/>
      <c r="EL20" s="377"/>
      <c r="EM20" s="377"/>
      <c r="EN20" s="377"/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0"/>
      <c r="Y21" s="0"/>
      <c r="Z21" s="0"/>
    </row>
    <row r="22" customFormat="false" ht="12.75" hidden="false" customHeight="false" outlineLevel="0" collapsed="false">
      <c r="A22" s="340" t="s">
        <v>302</v>
      </c>
      <c r="B22" s="378" t="n">
        <f aca="false">B106</f>
        <v>0.05</v>
      </c>
      <c r="C22" s="378" t="n">
        <f aca="false">C106</f>
        <v>0.05</v>
      </c>
      <c r="D22" s="378" t="n">
        <f aca="false">D106</f>
        <v>0.05</v>
      </c>
      <c r="E22" s="378" t="n">
        <f aca="false">E106</f>
        <v>0.05</v>
      </c>
      <c r="F22" s="378" t="n">
        <f aca="false">F106</f>
        <v>0.05</v>
      </c>
      <c r="G22" s="378" t="n">
        <f aca="false">G106</f>
        <v>0.05</v>
      </c>
      <c r="H22" s="378" t="n">
        <f aca="false">H106</f>
        <v>0.05</v>
      </c>
      <c r="I22" s="378" t="n">
        <f aca="false">I106</f>
        <v>0.05</v>
      </c>
      <c r="J22" s="378" t="n">
        <f aca="false">J106</f>
        <v>0.05</v>
      </c>
      <c r="K22" s="378" t="n">
        <f aca="false">K106</f>
        <v>0.05</v>
      </c>
      <c r="L22" s="378" t="n">
        <f aca="false">L106</f>
        <v>0.05</v>
      </c>
      <c r="M22" s="378" t="n">
        <f aca="false">M106</f>
        <v>0.05</v>
      </c>
      <c r="N22" s="378" t="n">
        <f aca="false">N106</f>
        <v>0.05</v>
      </c>
      <c r="O22" s="378" t="n">
        <f aca="false">O106</f>
        <v>0.05</v>
      </c>
      <c r="P22" s="378" t="n">
        <f aca="false">P106</f>
        <v>0.05</v>
      </c>
      <c r="Q22" s="378" t="n">
        <f aca="false">Q106</f>
        <v>0.05</v>
      </c>
      <c r="R22" s="378" t="n">
        <f aca="false">R106</f>
        <v>0.05</v>
      </c>
      <c r="S22" s="378" t="n">
        <f aca="false">S106</f>
        <v>0.05</v>
      </c>
      <c r="T22" s="378" t="n">
        <f aca="false">T106</f>
        <v>0.05</v>
      </c>
      <c r="U22" s="378" t="n">
        <f aca="false">U106</f>
        <v>0.05</v>
      </c>
      <c r="V22" s="378" t="n">
        <f aca="false">V106</f>
        <v>0</v>
      </c>
      <c r="W22" s="378" t="n">
        <f aca="false">W106</f>
        <v>0</v>
      </c>
      <c r="X22" s="0"/>
      <c r="Y22" s="0"/>
      <c r="Z22" s="0"/>
      <c r="AA22" s="379"/>
      <c r="AB22" s="380"/>
      <c r="AC22" s="381"/>
      <c r="AD22" s="381"/>
      <c r="AE22" s="381"/>
      <c r="AF22" s="381"/>
      <c r="AG22" s="381"/>
      <c r="AH22" s="381"/>
    </row>
    <row r="23" customFormat="false" ht="12.75" hidden="false" customHeight="false" outlineLevel="0" collapsed="false">
      <c r="A23" s="382" t="str">
        <f aca="false">IF(SUM(B22:W22)&lt;&gt;1,"CHECK!","")</f>
        <v/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0"/>
      <c r="Y23" s="0"/>
      <c r="Z23" s="0"/>
    </row>
    <row r="24" customFormat="false" ht="12.75" hidden="false" customHeight="false" outlineLevel="0" collapsed="false">
      <c r="A24" s="340" t="s">
        <v>303</v>
      </c>
      <c r="B24" s="384" t="n">
        <f aca="false">B111</f>
        <v>0.05</v>
      </c>
      <c r="C24" s="384" t="n">
        <f aca="false">C111</f>
        <v>0.05</v>
      </c>
      <c r="D24" s="384" t="n">
        <f aca="false">D111</f>
        <v>0.05</v>
      </c>
      <c r="E24" s="384" t="n">
        <f aca="false">E111</f>
        <v>0.05</v>
      </c>
      <c r="F24" s="384" t="n">
        <f aca="false">F111</f>
        <v>0.05</v>
      </c>
      <c r="G24" s="384" t="n">
        <f aca="false">G111</f>
        <v>0.05</v>
      </c>
      <c r="H24" s="384" t="n">
        <f aca="false">H111</f>
        <v>0.05</v>
      </c>
      <c r="I24" s="384" t="n">
        <f aca="false">I111</f>
        <v>0.05</v>
      </c>
      <c r="J24" s="384" t="n">
        <f aca="false">J111</f>
        <v>0.05</v>
      </c>
      <c r="K24" s="384" t="n">
        <f aca="false">K111</f>
        <v>0.05</v>
      </c>
      <c r="L24" s="384" t="n">
        <f aca="false">L111</f>
        <v>0.05</v>
      </c>
      <c r="M24" s="384" t="n">
        <f aca="false">M111</f>
        <v>0.05</v>
      </c>
      <c r="N24" s="384" t="n">
        <f aca="false">N111</f>
        <v>0.05</v>
      </c>
      <c r="O24" s="384" t="n">
        <f aca="false">O111</f>
        <v>0.05</v>
      </c>
      <c r="P24" s="384" t="n">
        <f aca="false">P111</f>
        <v>0.05</v>
      </c>
      <c r="Q24" s="384" t="n">
        <f aca="false">Q111</f>
        <v>0.05</v>
      </c>
      <c r="R24" s="384" t="n">
        <f aca="false">R111</f>
        <v>0.05</v>
      </c>
      <c r="S24" s="384" t="n">
        <f aca="false">S111</f>
        <v>0.05</v>
      </c>
      <c r="T24" s="384" t="n">
        <f aca="false">T111</f>
        <v>0.05</v>
      </c>
      <c r="U24" s="384" t="n">
        <f aca="false">U111</f>
        <v>0.05</v>
      </c>
      <c r="V24" s="384" t="n">
        <f aca="false">V111</f>
        <v>0</v>
      </c>
      <c r="W24" s="384" t="n">
        <f aca="false">W111</f>
        <v>0</v>
      </c>
      <c r="X24" s="0"/>
      <c r="Y24" s="0"/>
      <c r="Z24" s="0"/>
      <c r="AA24" s="385"/>
    </row>
    <row r="25" customFormat="false" ht="12.75" hidden="false" customHeight="false" outlineLevel="0" collapsed="false">
      <c r="A25" s="382" t="str">
        <f aca="false">IF(SUM(B24:W24)&lt;&gt;1,"CHECK!","")</f>
        <v/>
      </c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0"/>
      <c r="Y25" s="0"/>
      <c r="Z25" s="0"/>
    </row>
    <row r="26" customFormat="false" ht="12.75" hidden="false" customHeight="false" outlineLevel="0" collapsed="false">
      <c r="A26" s="340" t="s">
        <v>304</v>
      </c>
      <c r="B26" s="384" t="n">
        <f aca="false">B116</f>
        <v>0.05</v>
      </c>
      <c r="C26" s="384" t="n">
        <f aca="false">C116</f>
        <v>0.05</v>
      </c>
      <c r="D26" s="384" t="n">
        <f aca="false">D116</f>
        <v>0.05</v>
      </c>
      <c r="E26" s="384" t="n">
        <f aca="false">E116</f>
        <v>0.05</v>
      </c>
      <c r="F26" s="384" t="n">
        <f aca="false">F116</f>
        <v>0.05</v>
      </c>
      <c r="G26" s="384" t="n">
        <f aca="false">G116</f>
        <v>0.05</v>
      </c>
      <c r="H26" s="384" t="n">
        <f aca="false">H116</f>
        <v>0.05</v>
      </c>
      <c r="I26" s="384" t="n">
        <f aca="false">I116</f>
        <v>0.05</v>
      </c>
      <c r="J26" s="384" t="n">
        <f aca="false">J116</f>
        <v>0.05</v>
      </c>
      <c r="K26" s="384" t="n">
        <f aca="false">K116</f>
        <v>0.05</v>
      </c>
      <c r="L26" s="384" t="n">
        <f aca="false">L116</f>
        <v>0.05</v>
      </c>
      <c r="M26" s="384" t="n">
        <f aca="false">M116</f>
        <v>0.05</v>
      </c>
      <c r="N26" s="384" t="n">
        <f aca="false">N116</f>
        <v>0.05</v>
      </c>
      <c r="O26" s="384" t="n">
        <f aca="false">O116</f>
        <v>0.05</v>
      </c>
      <c r="P26" s="384" t="n">
        <f aca="false">P116</f>
        <v>0.05</v>
      </c>
      <c r="Q26" s="384" t="n">
        <f aca="false">Q116</f>
        <v>0.05</v>
      </c>
      <c r="R26" s="384" t="n">
        <f aca="false">R116</f>
        <v>0.05</v>
      </c>
      <c r="S26" s="384" t="n">
        <f aca="false">S116</f>
        <v>0.05</v>
      </c>
      <c r="T26" s="384" t="n">
        <f aca="false">T116</f>
        <v>0.05</v>
      </c>
      <c r="U26" s="384" t="n">
        <f aca="false">U116</f>
        <v>0.05</v>
      </c>
      <c r="V26" s="384" t="n">
        <f aca="false">V116</f>
        <v>0</v>
      </c>
      <c r="W26" s="384" t="n">
        <f aca="false">W116</f>
        <v>0</v>
      </c>
      <c r="X26" s="0"/>
      <c r="Y26" s="0"/>
      <c r="Z26" s="0"/>
      <c r="AA26" s="385"/>
      <c r="AC26" s="84"/>
      <c r="AD26" s="84"/>
      <c r="AE26" s="84"/>
      <c r="AF26" s="84"/>
      <c r="AG26" s="84"/>
      <c r="AH26" s="84"/>
    </row>
    <row r="27" customFormat="false" ht="12.75" hidden="false" customHeight="false" outlineLevel="0" collapsed="false">
      <c r="A27" s="382" t="str">
        <f aca="false">IF(SUM(B26:W26)&lt;&gt;1,"CHECK!","")</f>
        <v/>
      </c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0"/>
      <c r="Y27" s="0"/>
      <c r="Z27" s="0"/>
    </row>
    <row r="28" customFormat="false" ht="12.75" hidden="false" customHeight="false" outlineLevel="0" collapsed="false">
      <c r="A28" s="382"/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0"/>
      <c r="Y28" s="0"/>
      <c r="Z28" s="0"/>
    </row>
    <row r="29" customFormat="false" ht="12.75" hidden="false" customHeight="false" outlineLevel="0" collapsed="false">
      <c r="A29" s="388" t="str">
        <f aca="false">CONCATENATE("Tranche 1 @ ",F7*100,"%")</f>
        <v>Tranche 1 @ 8%</v>
      </c>
      <c r="C29" s="389"/>
      <c r="X29" s="0"/>
      <c r="Y29" s="0"/>
      <c r="Z29" s="0"/>
    </row>
    <row r="30" customFormat="false" ht="12.75" hidden="false" customHeight="false" outlineLevel="0" collapsed="false">
      <c r="A30" s="390" t="n">
        <f aca="false">Assumptions!B47</f>
        <v>36739</v>
      </c>
      <c r="B30" s="391"/>
      <c r="X30" s="0"/>
      <c r="Y30" s="0"/>
      <c r="Z30" s="0"/>
    </row>
    <row r="31" customFormat="false" ht="12.75" hidden="false" customHeight="false" outlineLevel="0" collapsed="false">
      <c r="A31" s="391" t="s">
        <v>305</v>
      </c>
      <c r="B31" s="392" t="n">
        <f aca="false">F10</f>
        <v>15000</v>
      </c>
      <c r="C31" s="391" t="n">
        <f aca="false">B39</f>
        <v>14250</v>
      </c>
      <c r="D31" s="391" t="n">
        <f aca="false">C39</f>
        <v>13500</v>
      </c>
      <c r="E31" s="391" t="n">
        <f aca="false">D39</f>
        <v>12750</v>
      </c>
      <c r="F31" s="391" t="n">
        <f aca="false">E39</f>
        <v>12000</v>
      </c>
      <c r="G31" s="391" t="n">
        <f aca="false">F39</f>
        <v>11250</v>
      </c>
      <c r="H31" s="391" t="n">
        <f aca="false">G39</f>
        <v>10500</v>
      </c>
      <c r="I31" s="391" t="n">
        <f aca="false">H39</f>
        <v>9750</v>
      </c>
      <c r="J31" s="391" t="n">
        <f aca="false">I39</f>
        <v>9000</v>
      </c>
      <c r="K31" s="391" t="n">
        <f aca="false">J39</f>
        <v>8250</v>
      </c>
      <c r="L31" s="391" t="n">
        <f aca="false">K39</f>
        <v>7500</v>
      </c>
      <c r="M31" s="391" t="n">
        <f aca="false">L39</f>
        <v>6750</v>
      </c>
      <c r="N31" s="391" t="n">
        <f aca="false">M39</f>
        <v>6000</v>
      </c>
      <c r="O31" s="391" t="n">
        <f aca="false">N39</f>
        <v>5250</v>
      </c>
      <c r="P31" s="391" t="n">
        <f aca="false">O39</f>
        <v>4500</v>
      </c>
      <c r="Q31" s="391" t="n">
        <f aca="false">P39</f>
        <v>3750</v>
      </c>
      <c r="R31" s="391" t="n">
        <f aca="false">Q39</f>
        <v>3000</v>
      </c>
      <c r="S31" s="391" t="n">
        <f aca="false">R39</f>
        <v>2250</v>
      </c>
      <c r="T31" s="391" t="n">
        <f aca="false">S39</f>
        <v>1500</v>
      </c>
      <c r="U31" s="391" t="n">
        <f aca="false">T39</f>
        <v>750</v>
      </c>
      <c r="V31" s="391" t="n">
        <f aca="false">U39</f>
        <v>0</v>
      </c>
      <c r="W31" s="391" t="n">
        <f aca="false">V39</f>
        <v>0</v>
      </c>
      <c r="X31" s="0"/>
      <c r="Y31" s="0"/>
      <c r="Z31" s="0"/>
      <c r="AA31" s="393"/>
      <c r="AB31" s="393"/>
      <c r="AC31" s="391"/>
      <c r="AD31" s="391"/>
      <c r="AE31" s="391"/>
      <c r="AF31" s="391"/>
      <c r="AG31" s="391"/>
      <c r="AH31" s="391"/>
    </row>
    <row r="32" customFormat="false" ht="12.75" hidden="false" customHeight="false" outlineLevel="0" collapsed="false">
      <c r="A32" s="391" t="s">
        <v>306</v>
      </c>
      <c r="B32" s="391" t="n">
        <v>0</v>
      </c>
      <c r="C32" s="391" t="n">
        <f aca="false">$B$31*C22/2</f>
        <v>375</v>
      </c>
      <c r="D32" s="391" t="n">
        <f aca="false">$B$31*D22/2</f>
        <v>375</v>
      </c>
      <c r="E32" s="391" t="n">
        <f aca="false">$B$31*E22/2</f>
        <v>375</v>
      </c>
      <c r="F32" s="391" t="n">
        <f aca="false">$B$31*F22/2</f>
        <v>375</v>
      </c>
      <c r="G32" s="391" t="n">
        <f aca="false">$B$31*G22/2</f>
        <v>375</v>
      </c>
      <c r="H32" s="391" t="n">
        <f aca="false">$B$31*H22/2</f>
        <v>375</v>
      </c>
      <c r="I32" s="391" t="n">
        <f aca="false">$B$31*I22/2</f>
        <v>375</v>
      </c>
      <c r="J32" s="391" t="n">
        <f aca="false">$B$31*J22/2</f>
        <v>375</v>
      </c>
      <c r="K32" s="391" t="n">
        <f aca="false">$B$31*K22/2</f>
        <v>375</v>
      </c>
      <c r="L32" s="391" t="n">
        <f aca="false">$B$31*L22/2</f>
        <v>375</v>
      </c>
      <c r="M32" s="391" t="n">
        <f aca="false">$B$31*M22/2</f>
        <v>375</v>
      </c>
      <c r="N32" s="391" t="n">
        <f aca="false">$B$31*N22/2</f>
        <v>375</v>
      </c>
      <c r="O32" s="391" t="n">
        <f aca="false">$B$31*O22/2</f>
        <v>375</v>
      </c>
      <c r="P32" s="391" t="n">
        <f aca="false">$B$31*P22/2</f>
        <v>375</v>
      </c>
      <c r="Q32" s="391" t="n">
        <f aca="false">$B$31*Q22/2</f>
        <v>375</v>
      </c>
      <c r="R32" s="391" t="n">
        <f aca="false">$B$31*R22/2</f>
        <v>375</v>
      </c>
      <c r="S32" s="391" t="n">
        <f aca="false">$B$31*S22/2</f>
        <v>375</v>
      </c>
      <c r="T32" s="391" t="n">
        <f aca="false">$B$31*T22/2</f>
        <v>375</v>
      </c>
      <c r="U32" s="391" t="n">
        <f aca="false">$B$31*U22/2</f>
        <v>375</v>
      </c>
      <c r="V32" s="391" t="n">
        <f aca="false">$B$31*V22/2</f>
        <v>0</v>
      </c>
      <c r="W32" s="391" t="n">
        <f aca="false">$B$31*W22/2</f>
        <v>0</v>
      </c>
      <c r="X32" s="0"/>
      <c r="Y32" s="0"/>
      <c r="Z32" s="0"/>
      <c r="AA32" s="393"/>
      <c r="AB32" s="393"/>
      <c r="AC32" s="391"/>
      <c r="AD32" s="391"/>
      <c r="AE32" s="391"/>
      <c r="AF32" s="391"/>
      <c r="AG32" s="391"/>
      <c r="AH32" s="391"/>
    </row>
    <row r="33" customFormat="false" ht="12.75" hidden="false" customHeight="false" outlineLevel="0" collapsed="false">
      <c r="A33" s="391" t="s">
        <v>307</v>
      </c>
      <c r="B33" s="394" t="n">
        <v>0</v>
      </c>
      <c r="C33" s="391" t="n">
        <f aca="false">C31*$F$7/2</f>
        <v>570</v>
      </c>
      <c r="D33" s="391" t="n">
        <f aca="false">D31*$F$7/2</f>
        <v>540</v>
      </c>
      <c r="E33" s="391" t="n">
        <f aca="false">E31*$F$7/2</f>
        <v>510</v>
      </c>
      <c r="F33" s="391" t="n">
        <f aca="false">F31*$F$7/2</f>
        <v>480</v>
      </c>
      <c r="G33" s="391" t="n">
        <f aca="false">G31*$F$7/2</f>
        <v>450</v>
      </c>
      <c r="H33" s="391" t="n">
        <f aca="false">H31*$F$7/2</f>
        <v>420</v>
      </c>
      <c r="I33" s="391" t="n">
        <f aca="false">I31*$F$7/2</f>
        <v>390</v>
      </c>
      <c r="J33" s="391" t="n">
        <f aca="false">J31*$F$7/2</f>
        <v>360</v>
      </c>
      <c r="K33" s="391" t="n">
        <f aca="false">K31*$F$7/2</f>
        <v>330</v>
      </c>
      <c r="L33" s="391" t="n">
        <f aca="false">L31*$F$7/2</f>
        <v>300</v>
      </c>
      <c r="M33" s="391" t="n">
        <f aca="false">M31*$F$7/2</f>
        <v>270</v>
      </c>
      <c r="N33" s="391" t="n">
        <f aca="false">N31*$F$7/2</f>
        <v>240</v>
      </c>
      <c r="O33" s="391" t="n">
        <f aca="false">O31*$F$7/2</f>
        <v>210</v>
      </c>
      <c r="P33" s="391" t="n">
        <f aca="false">P31*$F$7/2</f>
        <v>180</v>
      </c>
      <c r="Q33" s="391" t="n">
        <f aca="false">Q31*$F$7/2</f>
        <v>150</v>
      </c>
      <c r="R33" s="391" t="n">
        <f aca="false">R31*$F$7/2</f>
        <v>120</v>
      </c>
      <c r="S33" s="391" t="n">
        <f aca="false">S31*$F$7/2</f>
        <v>90</v>
      </c>
      <c r="T33" s="391" t="n">
        <f aca="false">T31*$F$7/2</f>
        <v>60</v>
      </c>
      <c r="U33" s="391" t="n">
        <f aca="false">U31*$F$7/2</f>
        <v>30</v>
      </c>
      <c r="V33" s="391" t="n">
        <f aca="false">V31*$F$7/2</f>
        <v>0</v>
      </c>
      <c r="W33" s="391" t="n">
        <f aca="false">W31*$F$7/2</f>
        <v>0</v>
      </c>
      <c r="X33" s="0"/>
      <c r="Y33" s="0"/>
      <c r="Z33" s="0"/>
      <c r="AA33" s="393"/>
      <c r="AB33" s="393"/>
      <c r="AC33" s="391"/>
      <c r="AD33" s="391"/>
      <c r="AE33" s="391"/>
      <c r="AF33" s="391"/>
      <c r="AG33" s="391"/>
      <c r="AH33" s="391"/>
    </row>
    <row r="34" customFormat="false" ht="12.75" hidden="false" customHeight="false" outlineLevel="0" collapsed="false">
      <c r="A34" s="391" t="s">
        <v>308</v>
      </c>
      <c r="B34" s="394" t="n">
        <f aca="false">B31-B32</f>
        <v>15000</v>
      </c>
      <c r="C34" s="391" t="n">
        <f aca="false">C31-C32</f>
        <v>13875</v>
      </c>
      <c r="D34" s="391" t="n">
        <f aca="false">D31-D32</f>
        <v>13125</v>
      </c>
      <c r="E34" s="391" t="n">
        <f aca="false">E31-E32</f>
        <v>12375</v>
      </c>
      <c r="F34" s="391" t="n">
        <f aca="false">F31-F32</f>
        <v>11625</v>
      </c>
      <c r="G34" s="391" t="n">
        <f aca="false">G31-G32</f>
        <v>10875</v>
      </c>
      <c r="H34" s="391" t="n">
        <f aca="false">H31-H32</f>
        <v>10125</v>
      </c>
      <c r="I34" s="391" t="n">
        <f aca="false">I31-I32</f>
        <v>9375</v>
      </c>
      <c r="J34" s="391" t="n">
        <f aca="false">J31-J32</f>
        <v>8625</v>
      </c>
      <c r="K34" s="391" t="n">
        <f aca="false">K31-K32</f>
        <v>7875</v>
      </c>
      <c r="L34" s="391" t="n">
        <f aca="false">L31-L32</f>
        <v>7125</v>
      </c>
      <c r="M34" s="391" t="n">
        <f aca="false">M31-M32</f>
        <v>6375</v>
      </c>
      <c r="N34" s="391" t="n">
        <f aca="false">N31-N32</f>
        <v>5625</v>
      </c>
      <c r="O34" s="391" t="n">
        <f aca="false">O31-O32</f>
        <v>4875</v>
      </c>
      <c r="P34" s="391" t="n">
        <f aca="false">P31-P32</f>
        <v>4125</v>
      </c>
      <c r="Q34" s="391" t="n">
        <f aca="false">Q31-Q32</f>
        <v>3375</v>
      </c>
      <c r="R34" s="391" t="n">
        <f aca="false">R31-R32</f>
        <v>2625</v>
      </c>
      <c r="S34" s="391" t="n">
        <f aca="false">S31-S32</f>
        <v>1875</v>
      </c>
      <c r="T34" s="391" t="n">
        <f aca="false">T31-T32</f>
        <v>1125</v>
      </c>
      <c r="U34" s="391" t="n">
        <f aca="false">U31-U32</f>
        <v>375</v>
      </c>
      <c r="V34" s="391" t="n">
        <f aca="false">V31-V32</f>
        <v>0</v>
      </c>
      <c r="W34" s="391" t="n">
        <f aca="false">W31-W32</f>
        <v>0</v>
      </c>
      <c r="X34" s="0"/>
      <c r="Y34" s="0"/>
      <c r="Z34" s="0"/>
      <c r="AA34" s="393"/>
      <c r="AB34" s="393"/>
      <c r="AC34" s="391"/>
      <c r="AD34" s="391"/>
      <c r="AE34" s="391"/>
      <c r="AF34" s="391"/>
      <c r="AG34" s="391"/>
      <c r="AH34" s="391"/>
    </row>
    <row r="35" customFormat="false" ht="12.75" hidden="false" customHeight="false" outlineLevel="0" collapsed="false">
      <c r="A35" s="390" t="n">
        <v>36557</v>
      </c>
      <c r="B35" s="394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0"/>
      <c r="Y35" s="0"/>
      <c r="Z35" s="0"/>
      <c r="AA35" s="393"/>
      <c r="AB35" s="393"/>
      <c r="AC35" s="391"/>
      <c r="AD35" s="391"/>
      <c r="AE35" s="391"/>
      <c r="AF35" s="391"/>
      <c r="AG35" s="391"/>
      <c r="AH35" s="391"/>
    </row>
    <row r="36" customFormat="false" ht="12.75" hidden="false" customHeight="false" outlineLevel="0" collapsed="false">
      <c r="A36" s="391" t="s">
        <v>305</v>
      </c>
      <c r="B36" s="394" t="n">
        <f aca="false">B34</f>
        <v>15000</v>
      </c>
      <c r="C36" s="391" t="n">
        <f aca="false">C34</f>
        <v>13875</v>
      </c>
      <c r="D36" s="391" t="n">
        <f aca="false">D34</f>
        <v>13125</v>
      </c>
      <c r="E36" s="391" t="n">
        <f aca="false">E34</f>
        <v>12375</v>
      </c>
      <c r="F36" s="391" t="n">
        <f aca="false">F34</f>
        <v>11625</v>
      </c>
      <c r="G36" s="391" t="n">
        <f aca="false">G34</f>
        <v>10875</v>
      </c>
      <c r="H36" s="391" t="n">
        <f aca="false">H34</f>
        <v>10125</v>
      </c>
      <c r="I36" s="391" t="n">
        <f aca="false">I34</f>
        <v>9375</v>
      </c>
      <c r="J36" s="391" t="n">
        <f aca="false">J34</f>
        <v>8625</v>
      </c>
      <c r="K36" s="391" t="n">
        <f aca="false">K34</f>
        <v>7875</v>
      </c>
      <c r="L36" s="391" t="n">
        <f aca="false">L34</f>
        <v>7125</v>
      </c>
      <c r="M36" s="391" t="n">
        <f aca="false">M34</f>
        <v>6375</v>
      </c>
      <c r="N36" s="391" t="n">
        <f aca="false">N34</f>
        <v>5625</v>
      </c>
      <c r="O36" s="391" t="n">
        <f aca="false">O34</f>
        <v>4875</v>
      </c>
      <c r="P36" s="391" t="n">
        <f aca="false">P34</f>
        <v>4125</v>
      </c>
      <c r="Q36" s="391" t="n">
        <f aca="false">Q34</f>
        <v>3375</v>
      </c>
      <c r="R36" s="391" t="n">
        <f aca="false">R34</f>
        <v>2625</v>
      </c>
      <c r="S36" s="391" t="n">
        <f aca="false">S34</f>
        <v>1875</v>
      </c>
      <c r="T36" s="391" t="n">
        <f aca="false">T34</f>
        <v>1125</v>
      </c>
      <c r="U36" s="391" t="n">
        <f aca="false">U34</f>
        <v>375</v>
      </c>
      <c r="V36" s="391" t="n">
        <f aca="false">V34</f>
        <v>0</v>
      </c>
      <c r="W36" s="391" t="n">
        <f aca="false">W34</f>
        <v>0</v>
      </c>
      <c r="X36" s="0"/>
      <c r="Y36" s="0"/>
      <c r="Z36" s="0"/>
      <c r="AA36" s="393"/>
      <c r="AB36" s="393"/>
      <c r="AC36" s="391"/>
      <c r="AD36" s="391"/>
      <c r="AE36" s="391"/>
      <c r="AF36" s="391"/>
      <c r="AG36" s="391"/>
      <c r="AH36" s="391"/>
    </row>
    <row r="37" customFormat="false" ht="12.75" hidden="false" customHeight="false" outlineLevel="0" collapsed="false">
      <c r="A37" s="391" t="s">
        <v>306</v>
      </c>
      <c r="B37" s="394" t="n">
        <f aca="false">$B$31*B22</f>
        <v>750</v>
      </c>
      <c r="C37" s="391" t="n">
        <f aca="false">$B$31*C22/2</f>
        <v>375</v>
      </c>
      <c r="D37" s="391" t="n">
        <f aca="false">$B$31*D22/2</f>
        <v>375</v>
      </c>
      <c r="E37" s="391" t="n">
        <f aca="false">$B$31*E22/2</f>
        <v>375</v>
      </c>
      <c r="F37" s="391" t="n">
        <f aca="false">$B$31*F22/2</f>
        <v>375</v>
      </c>
      <c r="G37" s="391" t="n">
        <f aca="false">$B$31*G22/2</f>
        <v>375</v>
      </c>
      <c r="H37" s="391" t="n">
        <f aca="false">$B$31*H22/2</f>
        <v>375</v>
      </c>
      <c r="I37" s="391" t="n">
        <f aca="false">$B$31*I22/2</f>
        <v>375</v>
      </c>
      <c r="J37" s="391" t="n">
        <f aca="false">$B$31*J22/2</f>
        <v>375</v>
      </c>
      <c r="K37" s="391" t="n">
        <f aca="false">$B$31*K22/2</f>
        <v>375</v>
      </c>
      <c r="L37" s="391" t="n">
        <f aca="false">$B$31*L22/2</f>
        <v>375</v>
      </c>
      <c r="M37" s="391" t="n">
        <f aca="false">$B$31*M22/2</f>
        <v>375</v>
      </c>
      <c r="N37" s="391" t="n">
        <f aca="false">$B$31*N22/2</f>
        <v>375</v>
      </c>
      <c r="O37" s="391" t="n">
        <f aca="false">$B$31*O22/2</f>
        <v>375</v>
      </c>
      <c r="P37" s="391" t="n">
        <f aca="false">$B$31*P22/2</f>
        <v>375</v>
      </c>
      <c r="Q37" s="391" t="n">
        <f aca="false">$B$31*Q22/2</f>
        <v>375</v>
      </c>
      <c r="R37" s="391" t="n">
        <f aca="false">$B$31*R22/2</f>
        <v>375</v>
      </c>
      <c r="S37" s="391" t="n">
        <f aca="false">$B$31*S22/2</f>
        <v>375</v>
      </c>
      <c r="T37" s="391" t="n">
        <f aca="false">$B$31*T22/2</f>
        <v>375</v>
      </c>
      <c r="U37" s="391" t="n">
        <f aca="false">$B$31*U22/2</f>
        <v>375</v>
      </c>
      <c r="V37" s="391" t="n">
        <f aca="false">$B$31*V22/2</f>
        <v>0</v>
      </c>
      <c r="W37" s="391" t="n">
        <f aca="false">$B$31*W22/2</f>
        <v>0</v>
      </c>
      <c r="X37" s="0"/>
      <c r="Y37" s="0"/>
      <c r="Z37" s="0"/>
      <c r="AA37" s="393"/>
      <c r="AB37" s="393"/>
      <c r="AC37" s="391"/>
      <c r="AD37" s="391"/>
      <c r="AE37" s="391"/>
      <c r="AF37" s="391"/>
      <c r="AG37" s="391"/>
      <c r="AH37" s="391"/>
    </row>
    <row r="38" customFormat="false" ht="12.75" hidden="false" customHeight="false" outlineLevel="0" collapsed="false">
      <c r="A38" s="391" t="s">
        <v>307</v>
      </c>
      <c r="B38" s="394" t="n">
        <f aca="false">B36*$F$7/2</f>
        <v>600</v>
      </c>
      <c r="C38" s="394" t="n">
        <f aca="false">C36*$F$7/2</f>
        <v>555</v>
      </c>
      <c r="D38" s="394" t="n">
        <f aca="false">D36*$F$7/2</f>
        <v>525</v>
      </c>
      <c r="E38" s="394" t="n">
        <f aca="false">E36*$F$7/2</f>
        <v>495</v>
      </c>
      <c r="F38" s="394" t="n">
        <f aca="false">F36*$F$7/2</f>
        <v>465</v>
      </c>
      <c r="G38" s="394" t="n">
        <f aca="false">G36*$F$7/2</f>
        <v>435</v>
      </c>
      <c r="H38" s="394" t="n">
        <f aca="false">H36*$F$7/2</f>
        <v>405</v>
      </c>
      <c r="I38" s="394" t="n">
        <f aca="false">I36*$F$7/2</f>
        <v>375</v>
      </c>
      <c r="J38" s="394" t="n">
        <f aca="false">J36*$F$7/2</f>
        <v>345</v>
      </c>
      <c r="K38" s="394" t="n">
        <f aca="false">K36*$F$7/2</f>
        <v>315</v>
      </c>
      <c r="L38" s="394" t="n">
        <f aca="false">L36*$F$7/2</f>
        <v>285</v>
      </c>
      <c r="M38" s="394" t="n">
        <f aca="false">M36*$F$7/2</f>
        <v>255</v>
      </c>
      <c r="N38" s="394" t="n">
        <f aca="false">N36*$F$7/2</f>
        <v>225</v>
      </c>
      <c r="O38" s="394" t="n">
        <f aca="false">O36*$F$7/2</f>
        <v>195</v>
      </c>
      <c r="P38" s="394" t="n">
        <f aca="false">P36*$F$7/2</f>
        <v>165</v>
      </c>
      <c r="Q38" s="394" t="n">
        <f aca="false">Q36*$F$7/2</f>
        <v>135</v>
      </c>
      <c r="R38" s="394" t="n">
        <f aca="false">R36*$F$7/2</f>
        <v>105</v>
      </c>
      <c r="S38" s="394" t="n">
        <f aca="false">S36*$F$7/2</f>
        <v>75</v>
      </c>
      <c r="T38" s="394" t="n">
        <f aca="false">T36*$F$7/2</f>
        <v>45</v>
      </c>
      <c r="U38" s="394" t="n">
        <f aca="false">U36*$F$7/2</f>
        <v>15</v>
      </c>
      <c r="V38" s="394" t="n">
        <f aca="false">V36*$F$7/2</f>
        <v>0</v>
      </c>
      <c r="W38" s="394" t="n">
        <f aca="false">W36*$F$7/2</f>
        <v>0</v>
      </c>
      <c r="X38" s="0"/>
      <c r="Y38" s="0"/>
      <c r="Z38" s="0"/>
      <c r="AA38" s="393"/>
      <c r="AB38" s="393"/>
      <c r="AC38" s="391"/>
      <c r="AD38" s="391"/>
      <c r="AE38" s="391"/>
      <c r="AF38" s="391"/>
      <c r="AG38" s="391"/>
      <c r="AH38" s="391"/>
    </row>
    <row r="39" customFormat="false" ht="12.75" hidden="false" customHeight="false" outlineLevel="0" collapsed="false">
      <c r="A39" s="391" t="s">
        <v>308</v>
      </c>
      <c r="B39" s="394" t="n">
        <f aca="false">B36-B37</f>
        <v>14250</v>
      </c>
      <c r="C39" s="391" t="n">
        <f aca="false">C36-C37</f>
        <v>13500</v>
      </c>
      <c r="D39" s="391" t="n">
        <f aca="false">D36-D37</f>
        <v>12750</v>
      </c>
      <c r="E39" s="391" t="n">
        <f aca="false">E36-E37</f>
        <v>12000</v>
      </c>
      <c r="F39" s="391" t="n">
        <f aca="false">F36-F37</f>
        <v>11250</v>
      </c>
      <c r="G39" s="391" t="n">
        <f aca="false">G36-G37</f>
        <v>10500</v>
      </c>
      <c r="H39" s="391" t="n">
        <f aca="false">H36-H37</f>
        <v>9750</v>
      </c>
      <c r="I39" s="391" t="n">
        <f aca="false">I36-I37</f>
        <v>9000</v>
      </c>
      <c r="J39" s="391" t="n">
        <f aca="false">J36-J37</f>
        <v>8250</v>
      </c>
      <c r="K39" s="391" t="n">
        <f aca="false">K36-K37</f>
        <v>7500</v>
      </c>
      <c r="L39" s="391" t="n">
        <f aca="false">L36-L37</f>
        <v>6750</v>
      </c>
      <c r="M39" s="391" t="n">
        <f aca="false">M36-M37</f>
        <v>6000</v>
      </c>
      <c r="N39" s="391" t="n">
        <f aca="false">N36-N37</f>
        <v>5250</v>
      </c>
      <c r="O39" s="391" t="n">
        <f aca="false">O36-O37</f>
        <v>4500</v>
      </c>
      <c r="P39" s="391" t="n">
        <f aca="false">P36-P37</f>
        <v>3750</v>
      </c>
      <c r="Q39" s="391" t="n">
        <f aca="false">Q36-Q37</f>
        <v>3000</v>
      </c>
      <c r="R39" s="391" t="n">
        <f aca="false">R36-R37</f>
        <v>2250</v>
      </c>
      <c r="S39" s="391" t="n">
        <f aca="false">S36-S37</f>
        <v>1500</v>
      </c>
      <c r="T39" s="391" t="n">
        <f aca="false">T36-T37</f>
        <v>750</v>
      </c>
      <c r="U39" s="391" t="n">
        <f aca="false">U36-U37</f>
        <v>0</v>
      </c>
      <c r="V39" s="391" t="n">
        <f aca="false">V36-V37</f>
        <v>0</v>
      </c>
      <c r="W39" s="391" t="n">
        <f aca="false">W36-W37</f>
        <v>0</v>
      </c>
      <c r="X39" s="0"/>
      <c r="Y39" s="0"/>
      <c r="Z39" s="0"/>
      <c r="AA39" s="393"/>
      <c r="AB39" s="393"/>
      <c r="AC39" s="391"/>
      <c r="AD39" s="391"/>
      <c r="AE39" s="391"/>
      <c r="AF39" s="391"/>
      <c r="AG39" s="391"/>
      <c r="AH39" s="391"/>
    </row>
    <row r="40" customFormat="false" ht="12.75" hidden="false" customHeight="false" outlineLevel="0" collapsed="false">
      <c r="A40" s="391"/>
      <c r="B40" s="394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0"/>
      <c r="Y40" s="0"/>
      <c r="Z40" s="0"/>
      <c r="AA40" s="393"/>
      <c r="AB40" s="393"/>
      <c r="AC40" s="391"/>
      <c r="AD40" s="391"/>
      <c r="AE40" s="391"/>
      <c r="AF40" s="391"/>
      <c r="AG40" s="391"/>
      <c r="AH40" s="391"/>
    </row>
    <row r="41" customFormat="false" ht="12.75" hidden="false" customHeight="false" outlineLevel="0" collapsed="false">
      <c r="A41" s="395" t="s">
        <v>309</v>
      </c>
      <c r="B41" s="394" t="n">
        <f aca="false">B33+B38</f>
        <v>600</v>
      </c>
      <c r="C41" s="394" t="n">
        <f aca="false">C33+C38</f>
        <v>1125</v>
      </c>
      <c r="D41" s="394" t="n">
        <f aca="false">D33+D38</f>
        <v>1065</v>
      </c>
      <c r="E41" s="394" t="n">
        <f aca="false">E33+E38</f>
        <v>1005</v>
      </c>
      <c r="F41" s="394" t="n">
        <f aca="false">F33+F38</f>
        <v>945</v>
      </c>
      <c r="G41" s="394" t="n">
        <f aca="false">G33+G38</f>
        <v>885</v>
      </c>
      <c r="H41" s="394" t="n">
        <f aca="false">H33+H38</f>
        <v>825</v>
      </c>
      <c r="I41" s="394" t="n">
        <f aca="false">I33+I38</f>
        <v>765</v>
      </c>
      <c r="J41" s="394" t="n">
        <f aca="false">J33+J38</f>
        <v>705</v>
      </c>
      <c r="K41" s="394" t="n">
        <f aca="false">K33+K38</f>
        <v>645</v>
      </c>
      <c r="L41" s="394" t="n">
        <f aca="false">L33+L38</f>
        <v>585</v>
      </c>
      <c r="M41" s="394" t="n">
        <f aca="false">M33+M38</f>
        <v>525</v>
      </c>
      <c r="N41" s="394" t="n">
        <f aca="false">N33+N38</f>
        <v>465</v>
      </c>
      <c r="O41" s="394" t="n">
        <f aca="false">O33+O38</f>
        <v>405</v>
      </c>
      <c r="P41" s="394" t="n">
        <f aca="false">P33+P38</f>
        <v>345</v>
      </c>
      <c r="Q41" s="394" t="n">
        <f aca="false">Q33+Q38</f>
        <v>285</v>
      </c>
      <c r="R41" s="394" t="n">
        <f aca="false">R33+R38</f>
        <v>225</v>
      </c>
      <c r="S41" s="394" t="n">
        <f aca="false">S33+S38</f>
        <v>165</v>
      </c>
      <c r="T41" s="394" t="n">
        <f aca="false">T33+T38</f>
        <v>105</v>
      </c>
      <c r="U41" s="394" t="n">
        <f aca="false">U33+U38</f>
        <v>45</v>
      </c>
      <c r="V41" s="394" t="n">
        <f aca="false">V33+V38</f>
        <v>0</v>
      </c>
      <c r="W41" s="394" t="n">
        <f aca="false">W33+W38</f>
        <v>0</v>
      </c>
      <c r="X41" s="0"/>
      <c r="Y41" s="0"/>
      <c r="Z41" s="0"/>
      <c r="AA41" s="393"/>
      <c r="AB41" s="393"/>
      <c r="AC41" s="391"/>
      <c r="AD41" s="391"/>
      <c r="AE41" s="391"/>
      <c r="AF41" s="391"/>
      <c r="AG41" s="391"/>
      <c r="AH41" s="391"/>
    </row>
    <row r="42" customFormat="false" ht="12.75" hidden="false" customHeight="false" outlineLevel="0" collapsed="false">
      <c r="A42" s="318" t="s">
        <v>310</v>
      </c>
      <c r="B42" s="394" t="n">
        <v>0</v>
      </c>
      <c r="C42" s="391" t="n">
        <v>0</v>
      </c>
      <c r="D42" s="391" t="n">
        <v>0</v>
      </c>
      <c r="E42" s="391" t="n">
        <v>0</v>
      </c>
      <c r="F42" s="391" t="n">
        <v>0</v>
      </c>
      <c r="G42" s="391" t="n">
        <v>0</v>
      </c>
      <c r="H42" s="391" t="n">
        <v>0</v>
      </c>
      <c r="I42" s="391" t="n">
        <v>0</v>
      </c>
      <c r="J42" s="391" t="n">
        <v>0</v>
      </c>
      <c r="K42" s="391" t="n">
        <v>0</v>
      </c>
      <c r="L42" s="391" t="n">
        <v>0</v>
      </c>
      <c r="M42" s="391" t="n">
        <v>0</v>
      </c>
      <c r="N42" s="391" t="n">
        <v>0</v>
      </c>
      <c r="O42" s="391" t="n">
        <v>0</v>
      </c>
      <c r="P42" s="391" t="n">
        <v>0</v>
      </c>
      <c r="Q42" s="391" t="n">
        <v>0</v>
      </c>
      <c r="R42" s="391" t="n">
        <v>0</v>
      </c>
      <c r="S42" s="391" t="n">
        <v>0</v>
      </c>
      <c r="T42" s="391" t="n">
        <v>0</v>
      </c>
      <c r="U42" s="391" t="n">
        <v>0</v>
      </c>
      <c r="V42" s="391" t="n">
        <v>0</v>
      </c>
      <c r="W42" s="391" t="n">
        <v>0</v>
      </c>
      <c r="X42" s="0"/>
      <c r="Y42" s="0"/>
      <c r="Z42" s="0"/>
      <c r="AA42" s="1"/>
      <c r="AB42" s="1"/>
    </row>
    <row r="43" customFormat="false" ht="12.75" hidden="false" customHeight="false" outlineLevel="0" collapsed="false">
      <c r="A43" s="395" t="s">
        <v>311</v>
      </c>
      <c r="B43" s="394" t="n">
        <f aca="false">B32+B37</f>
        <v>750</v>
      </c>
      <c r="C43" s="394" t="n">
        <f aca="false">C32+C37</f>
        <v>750</v>
      </c>
      <c r="D43" s="394" t="n">
        <f aca="false">D32+D37</f>
        <v>750</v>
      </c>
      <c r="E43" s="394" t="n">
        <f aca="false">E32+E37</f>
        <v>750</v>
      </c>
      <c r="F43" s="394" t="n">
        <f aca="false">F32+F37</f>
        <v>750</v>
      </c>
      <c r="G43" s="394" t="n">
        <f aca="false">G32+G37</f>
        <v>750</v>
      </c>
      <c r="H43" s="394" t="n">
        <f aca="false">H32+H37</f>
        <v>750</v>
      </c>
      <c r="I43" s="394" t="n">
        <f aca="false">I32+I37</f>
        <v>750</v>
      </c>
      <c r="J43" s="394" t="n">
        <f aca="false">J32+J37</f>
        <v>750</v>
      </c>
      <c r="K43" s="394" t="n">
        <f aca="false">K32+K37</f>
        <v>750</v>
      </c>
      <c r="L43" s="394" t="n">
        <f aca="false">L32+L37</f>
        <v>750</v>
      </c>
      <c r="M43" s="394" t="n">
        <f aca="false">M32+M37</f>
        <v>750</v>
      </c>
      <c r="N43" s="394" t="n">
        <f aca="false">N32+N37</f>
        <v>750</v>
      </c>
      <c r="O43" s="394" t="n">
        <f aca="false">O32+O37</f>
        <v>750</v>
      </c>
      <c r="P43" s="394" t="n">
        <f aca="false">P32+P37</f>
        <v>750</v>
      </c>
      <c r="Q43" s="394" t="n">
        <f aca="false">Q32+Q37</f>
        <v>750</v>
      </c>
      <c r="R43" s="394" t="n">
        <f aca="false">R32+R37</f>
        <v>750</v>
      </c>
      <c r="S43" s="394" t="n">
        <f aca="false">S32+S37</f>
        <v>750</v>
      </c>
      <c r="T43" s="394" t="n">
        <f aca="false">T32+T37</f>
        <v>750</v>
      </c>
      <c r="U43" s="394" t="n">
        <f aca="false">U32+U37</f>
        <v>750</v>
      </c>
      <c r="V43" s="394" t="n">
        <f aca="false">V32+V37</f>
        <v>0</v>
      </c>
      <c r="W43" s="394" t="n">
        <f aca="false">W32+W37</f>
        <v>0</v>
      </c>
      <c r="X43" s="0"/>
      <c r="Y43" s="0"/>
      <c r="Z43" s="0"/>
      <c r="AA43" s="1"/>
      <c r="AB43" s="1"/>
    </row>
    <row r="44" customFormat="false" ht="12.75" hidden="false" customHeight="false" outlineLevel="0" collapsed="false">
      <c r="B44" s="39"/>
      <c r="X44" s="0"/>
      <c r="Y44" s="0"/>
      <c r="Z44" s="0"/>
      <c r="AA44" s="1"/>
      <c r="AB44" s="1"/>
    </row>
    <row r="45" customFormat="false" ht="12.75" hidden="false" customHeight="false" outlineLevel="0" collapsed="false">
      <c r="B45" s="39"/>
      <c r="X45" s="0"/>
      <c r="Y45" s="0"/>
      <c r="Z45" s="0"/>
      <c r="AA45" s="1"/>
      <c r="AB45" s="1"/>
    </row>
    <row r="46" customFormat="false" ht="12.75" hidden="false" customHeight="false" outlineLevel="0" collapsed="false">
      <c r="A46" s="388" t="str">
        <f aca="false">CONCATENATE("Tranche 2 @ ",L7*100,"%")</f>
        <v>Tranche 2 @ 8%</v>
      </c>
      <c r="B46" s="39"/>
      <c r="C46" s="389"/>
      <c r="AA46" s="1"/>
      <c r="AB46" s="1"/>
      <c r="AF46" s="84"/>
    </row>
    <row r="47" customFormat="false" ht="12.75" hidden="false" customHeight="false" outlineLevel="0" collapsed="false">
      <c r="A47" s="396" t="n">
        <f aca="false">A30</f>
        <v>36739</v>
      </c>
      <c r="B47" s="394"/>
      <c r="AA47" s="1"/>
      <c r="AB47" s="1"/>
      <c r="AF47" s="84"/>
    </row>
    <row r="48" customFormat="false" ht="12.75" hidden="false" customHeight="false" outlineLevel="0" collapsed="false">
      <c r="A48" s="391" t="s">
        <v>305</v>
      </c>
      <c r="B48" s="397" t="n">
        <f aca="false">L10</f>
        <v>25000</v>
      </c>
      <c r="C48" s="391" t="n">
        <f aca="false">B56</f>
        <v>23750</v>
      </c>
      <c r="D48" s="391" t="n">
        <f aca="false">C56</f>
        <v>22500</v>
      </c>
      <c r="E48" s="391" t="n">
        <f aca="false">D56</f>
        <v>21250</v>
      </c>
      <c r="F48" s="391" t="n">
        <f aca="false">E56</f>
        <v>20000</v>
      </c>
      <c r="G48" s="391" t="n">
        <f aca="false">F56</f>
        <v>18750</v>
      </c>
      <c r="H48" s="391" t="n">
        <f aca="false">G56</f>
        <v>17500</v>
      </c>
      <c r="I48" s="391" t="n">
        <f aca="false">H56</f>
        <v>16250</v>
      </c>
      <c r="J48" s="391" t="n">
        <f aca="false">I56</f>
        <v>15000</v>
      </c>
      <c r="K48" s="391" t="n">
        <f aca="false">J56</f>
        <v>13750</v>
      </c>
      <c r="L48" s="391" t="n">
        <f aca="false">K56</f>
        <v>12500</v>
      </c>
      <c r="M48" s="391" t="n">
        <f aca="false">L56</f>
        <v>11250</v>
      </c>
      <c r="N48" s="391" t="n">
        <f aca="false">M56</f>
        <v>10000</v>
      </c>
      <c r="O48" s="391" t="n">
        <f aca="false">N56</f>
        <v>8750</v>
      </c>
      <c r="P48" s="391" t="n">
        <f aca="false">O56</f>
        <v>7500</v>
      </c>
      <c r="Q48" s="391" t="n">
        <f aca="false">P56</f>
        <v>6250</v>
      </c>
      <c r="R48" s="391" t="n">
        <f aca="false">Q56</f>
        <v>5000</v>
      </c>
      <c r="S48" s="391" t="n">
        <f aca="false">R56</f>
        <v>3750</v>
      </c>
      <c r="T48" s="391" t="n">
        <f aca="false">S56</f>
        <v>2500</v>
      </c>
      <c r="U48" s="391" t="n">
        <f aca="false">T56</f>
        <v>1250</v>
      </c>
      <c r="V48" s="391" t="n">
        <f aca="false">U56</f>
        <v>0</v>
      </c>
      <c r="W48" s="391" t="n">
        <f aca="false">V56</f>
        <v>0</v>
      </c>
      <c r="X48" s="391"/>
      <c r="Y48" s="391"/>
      <c r="Z48" s="391"/>
      <c r="AA48" s="393"/>
      <c r="AB48" s="393"/>
      <c r="AC48" s="391"/>
      <c r="AD48" s="391"/>
      <c r="AE48" s="391"/>
      <c r="AF48" s="392"/>
      <c r="AG48" s="391"/>
      <c r="AH48" s="181"/>
    </row>
    <row r="49" customFormat="false" ht="12.75" hidden="false" customHeight="false" outlineLevel="0" collapsed="false">
      <c r="A49" s="391" t="s">
        <v>306</v>
      </c>
      <c r="B49" s="394" t="n">
        <v>0</v>
      </c>
      <c r="C49" s="391" t="n">
        <f aca="false">$B$48*C24/2</f>
        <v>625</v>
      </c>
      <c r="D49" s="391" t="n">
        <f aca="false">$B$48*D24/2</f>
        <v>625</v>
      </c>
      <c r="E49" s="391" t="n">
        <f aca="false">$B$48*E24/2</f>
        <v>625</v>
      </c>
      <c r="F49" s="391" t="n">
        <f aca="false">$B$48*F24/2</f>
        <v>625</v>
      </c>
      <c r="G49" s="391" t="n">
        <f aca="false">$B$48*G24/2</f>
        <v>625</v>
      </c>
      <c r="H49" s="391" t="n">
        <f aca="false">$B$48*H24/2</f>
        <v>625</v>
      </c>
      <c r="I49" s="391" t="n">
        <f aca="false">$B$48*I24/2</f>
        <v>625</v>
      </c>
      <c r="J49" s="391" t="n">
        <f aca="false">$B$48*J24/2</f>
        <v>625</v>
      </c>
      <c r="K49" s="391" t="n">
        <f aca="false">$B$48*K24/2</f>
        <v>625</v>
      </c>
      <c r="L49" s="391" t="n">
        <f aca="false">$B$48*L24/2</f>
        <v>625</v>
      </c>
      <c r="M49" s="391" t="n">
        <f aca="false">$B$48*M24/2</f>
        <v>625</v>
      </c>
      <c r="N49" s="391" t="n">
        <f aca="false">$B$48*N24/2</f>
        <v>625</v>
      </c>
      <c r="O49" s="391" t="n">
        <f aca="false">$B$48*O24/2</f>
        <v>625</v>
      </c>
      <c r="P49" s="391" t="n">
        <f aca="false">$B$48*P24/2</f>
        <v>625</v>
      </c>
      <c r="Q49" s="391" t="n">
        <f aca="false">$B$48*Q24/2</f>
        <v>625</v>
      </c>
      <c r="R49" s="391" t="n">
        <f aca="false">$B$48*R24/2</f>
        <v>625</v>
      </c>
      <c r="S49" s="391" t="n">
        <f aca="false">$B$48*S24/2</f>
        <v>625</v>
      </c>
      <c r="T49" s="391" t="n">
        <f aca="false">$B$48*T24/2</f>
        <v>625</v>
      </c>
      <c r="U49" s="391" t="n">
        <f aca="false">$B$48*U24/2</f>
        <v>625</v>
      </c>
      <c r="V49" s="391" t="n">
        <f aca="false">$B$48*V24/2</f>
        <v>0</v>
      </c>
      <c r="W49" s="391" t="n">
        <f aca="false">$B$48*W24/2</f>
        <v>0</v>
      </c>
      <c r="X49" s="391"/>
      <c r="Y49" s="391"/>
      <c r="Z49" s="391"/>
      <c r="AA49" s="393"/>
      <c r="AB49" s="393"/>
      <c r="AC49" s="391"/>
      <c r="AD49" s="391"/>
      <c r="AE49" s="391"/>
      <c r="AF49" s="398"/>
      <c r="AG49" s="391"/>
      <c r="AH49" s="181"/>
    </row>
    <row r="50" customFormat="false" ht="12.75" hidden="false" customHeight="false" outlineLevel="0" collapsed="false">
      <c r="A50" s="391" t="s">
        <v>307</v>
      </c>
      <c r="B50" s="394" t="n">
        <v>0</v>
      </c>
      <c r="C50" s="391" t="n">
        <f aca="false">C48*$L$7/2</f>
        <v>950</v>
      </c>
      <c r="D50" s="391" t="n">
        <f aca="false">D48*$L$7/2</f>
        <v>900</v>
      </c>
      <c r="E50" s="391" t="n">
        <f aca="false">E48*$L$7/2</f>
        <v>850</v>
      </c>
      <c r="F50" s="391" t="n">
        <f aca="false">F48*$L$7/2</f>
        <v>800</v>
      </c>
      <c r="G50" s="391" t="n">
        <f aca="false">G48*$L$7/2</f>
        <v>750</v>
      </c>
      <c r="H50" s="391" t="n">
        <f aca="false">H48*$L$7/2</f>
        <v>700</v>
      </c>
      <c r="I50" s="391" t="n">
        <f aca="false">I48*$L$7/2</f>
        <v>650</v>
      </c>
      <c r="J50" s="391" t="n">
        <f aca="false">J48*$L$7/2</f>
        <v>600</v>
      </c>
      <c r="K50" s="391" t="n">
        <f aca="false">K48*$L$7/2</f>
        <v>550</v>
      </c>
      <c r="L50" s="391" t="n">
        <f aca="false">L48*$L$7/2</f>
        <v>500</v>
      </c>
      <c r="M50" s="391" t="n">
        <f aca="false">M48*$L$7/2</f>
        <v>450</v>
      </c>
      <c r="N50" s="391" t="n">
        <f aca="false">N48*$L$7/2</f>
        <v>400</v>
      </c>
      <c r="O50" s="391" t="n">
        <f aca="false">O48*$L$7/2</f>
        <v>350</v>
      </c>
      <c r="P50" s="391" t="n">
        <f aca="false">P48*$L$7/2</f>
        <v>300</v>
      </c>
      <c r="Q50" s="391" t="n">
        <f aca="false">Q48*$L$7/2</f>
        <v>250</v>
      </c>
      <c r="R50" s="391" t="n">
        <f aca="false">R48*$L$7/2</f>
        <v>200</v>
      </c>
      <c r="S50" s="391" t="n">
        <f aca="false">S48*$L$7/2</f>
        <v>150</v>
      </c>
      <c r="T50" s="391" t="n">
        <f aca="false">T48*$L$7/2</f>
        <v>100</v>
      </c>
      <c r="U50" s="391" t="n">
        <f aca="false">U48*$L$7/2</f>
        <v>50</v>
      </c>
      <c r="V50" s="391" t="n">
        <f aca="false">V48*$L$7/2</f>
        <v>0</v>
      </c>
      <c r="W50" s="391" t="n">
        <f aca="false">W48*$L$7/2</f>
        <v>0</v>
      </c>
      <c r="X50" s="391"/>
      <c r="Y50" s="391"/>
      <c r="Z50" s="391"/>
      <c r="AA50" s="393"/>
      <c r="AB50" s="393"/>
      <c r="AC50" s="391"/>
      <c r="AD50" s="391"/>
      <c r="AE50" s="391"/>
      <c r="AF50" s="398"/>
      <c r="AG50" s="391"/>
      <c r="AH50" s="181"/>
    </row>
    <row r="51" customFormat="false" ht="12.75" hidden="false" customHeight="false" outlineLevel="0" collapsed="false">
      <c r="A51" s="391" t="s">
        <v>308</v>
      </c>
      <c r="B51" s="394" t="n">
        <f aca="false">B48-B49</f>
        <v>25000</v>
      </c>
      <c r="C51" s="391" t="n">
        <f aca="false">C48-C49</f>
        <v>23125</v>
      </c>
      <c r="D51" s="391" t="n">
        <f aca="false">D48-D49</f>
        <v>21875</v>
      </c>
      <c r="E51" s="391" t="n">
        <f aca="false">E48-E49</f>
        <v>20625</v>
      </c>
      <c r="F51" s="391" t="n">
        <f aca="false">F48-F49</f>
        <v>19375</v>
      </c>
      <c r="G51" s="391" t="n">
        <f aca="false">G48-G49</f>
        <v>18125</v>
      </c>
      <c r="H51" s="391" t="n">
        <f aca="false">H48-H49</f>
        <v>16875</v>
      </c>
      <c r="I51" s="391" t="n">
        <f aca="false">I48-I49</f>
        <v>15625</v>
      </c>
      <c r="J51" s="391" t="n">
        <f aca="false">J48-J49</f>
        <v>14375</v>
      </c>
      <c r="K51" s="391" t="n">
        <f aca="false">K48-K49</f>
        <v>13125</v>
      </c>
      <c r="L51" s="391" t="n">
        <f aca="false">L48-L49</f>
        <v>11875</v>
      </c>
      <c r="M51" s="391" t="n">
        <f aca="false">M48-M49</f>
        <v>10625</v>
      </c>
      <c r="N51" s="391" t="n">
        <f aca="false">N48-N49</f>
        <v>9375</v>
      </c>
      <c r="O51" s="391" t="n">
        <f aca="false">O48-O49</f>
        <v>8125</v>
      </c>
      <c r="P51" s="391" t="n">
        <f aca="false">P48-P49</f>
        <v>6875</v>
      </c>
      <c r="Q51" s="391" t="n">
        <f aca="false">Q48-Q49</f>
        <v>5625</v>
      </c>
      <c r="R51" s="391" t="n">
        <f aca="false">R48-R49</f>
        <v>4375</v>
      </c>
      <c r="S51" s="391" t="n">
        <f aca="false">S48-S49</f>
        <v>3125</v>
      </c>
      <c r="T51" s="391" t="n">
        <f aca="false">T48-T49</f>
        <v>1875</v>
      </c>
      <c r="U51" s="391" t="n">
        <f aca="false">U48-U49</f>
        <v>625</v>
      </c>
      <c r="V51" s="391" t="n">
        <f aca="false">V48-V49</f>
        <v>0</v>
      </c>
      <c r="W51" s="391" t="n">
        <f aca="false">W48-W49</f>
        <v>0</v>
      </c>
      <c r="X51" s="391"/>
      <c r="Y51" s="391"/>
      <c r="Z51" s="391"/>
      <c r="AA51" s="393"/>
      <c r="AB51" s="393"/>
      <c r="AC51" s="391"/>
      <c r="AD51" s="391"/>
      <c r="AE51" s="391"/>
      <c r="AF51" s="398"/>
      <c r="AG51" s="391"/>
      <c r="AH51" s="181"/>
    </row>
    <row r="52" customFormat="false" ht="12.75" hidden="false" customHeight="false" outlineLevel="0" collapsed="false">
      <c r="A52" s="396" t="n">
        <f aca="false">A35</f>
        <v>36557</v>
      </c>
      <c r="B52" s="394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3"/>
      <c r="AB52" s="393"/>
      <c r="AC52" s="391"/>
      <c r="AD52" s="391"/>
      <c r="AE52" s="391"/>
      <c r="AF52" s="398"/>
      <c r="AG52" s="391"/>
      <c r="AH52" s="181"/>
    </row>
    <row r="53" customFormat="false" ht="12.75" hidden="false" customHeight="false" outlineLevel="0" collapsed="false">
      <c r="A53" s="391" t="s">
        <v>305</v>
      </c>
      <c r="B53" s="394" t="n">
        <f aca="false">B51</f>
        <v>25000</v>
      </c>
      <c r="C53" s="394" t="n">
        <f aca="false">C51</f>
        <v>23125</v>
      </c>
      <c r="D53" s="394" t="n">
        <f aca="false">D51</f>
        <v>21875</v>
      </c>
      <c r="E53" s="394" t="n">
        <f aca="false">E51</f>
        <v>20625</v>
      </c>
      <c r="F53" s="394" t="n">
        <f aca="false">F51</f>
        <v>19375</v>
      </c>
      <c r="G53" s="394" t="n">
        <f aca="false">G51</f>
        <v>18125</v>
      </c>
      <c r="H53" s="394" t="n">
        <f aca="false">H51</f>
        <v>16875</v>
      </c>
      <c r="I53" s="394" t="n">
        <f aca="false">I51</f>
        <v>15625</v>
      </c>
      <c r="J53" s="394" t="n">
        <f aca="false">J51</f>
        <v>14375</v>
      </c>
      <c r="K53" s="394" t="n">
        <f aca="false">K51</f>
        <v>13125</v>
      </c>
      <c r="L53" s="394" t="n">
        <f aca="false">L51</f>
        <v>11875</v>
      </c>
      <c r="M53" s="394" t="n">
        <f aca="false">M51</f>
        <v>10625</v>
      </c>
      <c r="N53" s="394" t="n">
        <f aca="false">N51</f>
        <v>9375</v>
      </c>
      <c r="O53" s="394" t="n">
        <f aca="false">O51</f>
        <v>8125</v>
      </c>
      <c r="P53" s="394" t="n">
        <f aca="false">P51</f>
        <v>6875</v>
      </c>
      <c r="Q53" s="394" t="n">
        <f aca="false">Q51</f>
        <v>5625</v>
      </c>
      <c r="R53" s="394" t="n">
        <f aca="false">R51</f>
        <v>4375</v>
      </c>
      <c r="S53" s="394" t="n">
        <f aca="false">S51</f>
        <v>3125</v>
      </c>
      <c r="T53" s="394" t="n">
        <f aca="false">T51</f>
        <v>1875</v>
      </c>
      <c r="U53" s="394" t="n">
        <f aca="false">U51</f>
        <v>625</v>
      </c>
      <c r="V53" s="394" t="n">
        <f aca="false">V51</f>
        <v>0</v>
      </c>
      <c r="W53" s="394" t="n">
        <f aca="false">W51</f>
        <v>0</v>
      </c>
      <c r="X53" s="391"/>
      <c r="Y53" s="391"/>
      <c r="Z53" s="391"/>
      <c r="AA53" s="393"/>
      <c r="AB53" s="393"/>
      <c r="AC53" s="391"/>
      <c r="AD53" s="391"/>
      <c r="AE53" s="391"/>
      <c r="AF53" s="398"/>
      <c r="AG53" s="391"/>
      <c r="AH53" s="181"/>
    </row>
    <row r="54" customFormat="false" ht="12.75" hidden="false" customHeight="false" outlineLevel="0" collapsed="false">
      <c r="A54" s="391" t="s">
        <v>306</v>
      </c>
      <c r="B54" s="394" t="n">
        <f aca="false">B24*$B$48</f>
        <v>1250</v>
      </c>
      <c r="C54" s="394" t="n">
        <f aca="false">C24*$B$48/2</f>
        <v>625</v>
      </c>
      <c r="D54" s="394" t="n">
        <f aca="false">D24*$B$48/2</f>
        <v>625</v>
      </c>
      <c r="E54" s="394" t="n">
        <f aca="false">E24*$B$48/2</f>
        <v>625</v>
      </c>
      <c r="F54" s="394" t="n">
        <f aca="false">F24*$B$48/2</f>
        <v>625</v>
      </c>
      <c r="G54" s="394" t="n">
        <f aca="false">G24*$B$48/2</f>
        <v>625</v>
      </c>
      <c r="H54" s="394" t="n">
        <f aca="false">H24*$B$48/2</f>
        <v>625</v>
      </c>
      <c r="I54" s="394" t="n">
        <f aca="false">I24*$B$48/2</f>
        <v>625</v>
      </c>
      <c r="J54" s="394" t="n">
        <f aca="false">J24*$B$48/2</f>
        <v>625</v>
      </c>
      <c r="K54" s="394" t="n">
        <f aca="false">K24*$B$48/2</f>
        <v>625</v>
      </c>
      <c r="L54" s="394" t="n">
        <f aca="false">L24*$B$48/2</f>
        <v>625</v>
      </c>
      <c r="M54" s="394" t="n">
        <f aca="false">M24*$B$48/2</f>
        <v>625</v>
      </c>
      <c r="N54" s="394" t="n">
        <f aca="false">N24*$B$48/2</f>
        <v>625</v>
      </c>
      <c r="O54" s="394" t="n">
        <f aca="false">O24*$B$48/2</f>
        <v>625</v>
      </c>
      <c r="P54" s="394" t="n">
        <f aca="false">P24*$B$48/2</f>
        <v>625</v>
      </c>
      <c r="Q54" s="394" t="n">
        <f aca="false">Q24*$B$48/2</f>
        <v>625</v>
      </c>
      <c r="R54" s="394" t="n">
        <f aca="false">R24*$B$48/2</f>
        <v>625</v>
      </c>
      <c r="S54" s="394" t="n">
        <f aca="false">S24*$B$48/2</f>
        <v>625</v>
      </c>
      <c r="T54" s="394" t="n">
        <f aca="false">T24*$B$48/2</f>
        <v>625</v>
      </c>
      <c r="U54" s="394" t="n">
        <f aca="false">U24*$B$48/2</f>
        <v>625</v>
      </c>
      <c r="V54" s="394" t="n">
        <f aca="false">V24*$B$48/2</f>
        <v>0</v>
      </c>
      <c r="W54" s="394" t="n">
        <f aca="false">W24*$B$48/2</f>
        <v>0</v>
      </c>
      <c r="X54" s="391"/>
      <c r="Y54" s="391"/>
      <c r="Z54" s="391"/>
      <c r="AA54" s="393"/>
      <c r="AB54" s="393"/>
      <c r="AC54" s="391"/>
      <c r="AD54" s="391"/>
      <c r="AE54" s="391"/>
      <c r="AF54" s="398"/>
      <c r="AG54" s="391"/>
      <c r="AH54" s="181"/>
    </row>
    <row r="55" customFormat="false" ht="12.75" hidden="false" customHeight="false" outlineLevel="0" collapsed="false">
      <c r="A55" s="391" t="s">
        <v>307</v>
      </c>
      <c r="B55" s="394" t="n">
        <f aca="false">B53*$L$7/2</f>
        <v>1000</v>
      </c>
      <c r="C55" s="394" t="n">
        <f aca="false">C53*$L$7/2</f>
        <v>925</v>
      </c>
      <c r="D55" s="394" t="n">
        <f aca="false">D53*$L$7/2</f>
        <v>875</v>
      </c>
      <c r="E55" s="394" t="n">
        <f aca="false">E53*$L$7/2</f>
        <v>825</v>
      </c>
      <c r="F55" s="394" t="n">
        <f aca="false">F53*$L$7/2</f>
        <v>775</v>
      </c>
      <c r="G55" s="394" t="n">
        <f aca="false">G53*$L$7/2</f>
        <v>725</v>
      </c>
      <c r="H55" s="394" t="n">
        <f aca="false">H53*$L$7/2</f>
        <v>675</v>
      </c>
      <c r="I55" s="394" t="n">
        <f aca="false">I53*$L$7/2</f>
        <v>625</v>
      </c>
      <c r="J55" s="394" t="n">
        <f aca="false">J53*$L$7/2</f>
        <v>575</v>
      </c>
      <c r="K55" s="394" t="n">
        <f aca="false">K53*$L$7/2</f>
        <v>525</v>
      </c>
      <c r="L55" s="394" t="n">
        <f aca="false">L53*$L$7/2</f>
        <v>475</v>
      </c>
      <c r="M55" s="394" t="n">
        <f aca="false">M53*$L$7/2</f>
        <v>425</v>
      </c>
      <c r="N55" s="394" t="n">
        <f aca="false">N53*$L$7/2</f>
        <v>375</v>
      </c>
      <c r="O55" s="394" t="n">
        <f aca="false">O53*$L$7/2</f>
        <v>325</v>
      </c>
      <c r="P55" s="394" t="n">
        <f aca="false">P53*$L$7/2</f>
        <v>275</v>
      </c>
      <c r="Q55" s="394" t="n">
        <f aca="false">Q53*$L$7/2</f>
        <v>225</v>
      </c>
      <c r="R55" s="394" t="n">
        <f aca="false">R53*$L$7/2</f>
        <v>175</v>
      </c>
      <c r="S55" s="394" t="n">
        <f aca="false">S53*$L$7/2</f>
        <v>125</v>
      </c>
      <c r="T55" s="394" t="n">
        <f aca="false">T53*$L$7/2</f>
        <v>75</v>
      </c>
      <c r="U55" s="394" t="n">
        <f aca="false">U53*$L$7/2</f>
        <v>25</v>
      </c>
      <c r="V55" s="394" t="n">
        <f aca="false">V53*$L$7/2</f>
        <v>0</v>
      </c>
      <c r="W55" s="394" t="n">
        <f aca="false">W53*$L$7/2</f>
        <v>0</v>
      </c>
      <c r="X55" s="391"/>
      <c r="Y55" s="391"/>
      <c r="Z55" s="391"/>
      <c r="AA55" s="393"/>
      <c r="AB55" s="393"/>
      <c r="AC55" s="391"/>
      <c r="AD55" s="391"/>
      <c r="AE55" s="391"/>
      <c r="AF55" s="398"/>
      <c r="AG55" s="391"/>
      <c r="AH55" s="181"/>
    </row>
    <row r="56" customFormat="false" ht="12.75" hidden="false" customHeight="false" outlineLevel="0" collapsed="false">
      <c r="A56" s="391" t="s">
        <v>308</v>
      </c>
      <c r="B56" s="394" t="n">
        <f aca="false">B53-B54</f>
        <v>23750</v>
      </c>
      <c r="C56" s="391" t="n">
        <f aca="false">C53-C54</f>
        <v>22500</v>
      </c>
      <c r="D56" s="391" t="n">
        <f aca="false">D53-D54</f>
        <v>21250</v>
      </c>
      <c r="E56" s="391" t="n">
        <f aca="false">E53-E54</f>
        <v>20000</v>
      </c>
      <c r="F56" s="391" t="n">
        <f aca="false">F53-F54</f>
        <v>18750</v>
      </c>
      <c r="G56" s="391" t="n">
        <f aca="false">G53-G54</f>
        <v>17500</v>
      </c>
      <c r="H56" s="391" t="n">
        <f aca="false">H53-H54</f>
        <v>16250</v>
      </c>
      <c r="I56" s="391" t="n">
        <f aca="false">I53-I54</f>
        <v>15000</v>
      </c>
      <c r="J56" s="391" t="n">
        <f aca="false">J53-J54</f>
        <v>13750</v>
      </c>
      <c r="K56" s="391" t="n">
        <f aca="false">K53-K54</f>
        <v>12500</v>
      </c>
      <c r="L56" s="391" t="n">
        <f aca="false">L53-L54</f>
        <v>11250</v>
      </c>
      <c r="M56" s="391" t="n">
        <f aca="false">M53-M54</f>
        <v>10000</v>
      </c>
      <c r="N56" s="391" t="n">
        <f aca="false">N53-N54</f>
        <v>8750</v>
      </c>
      <c r="O56" s="391" t="n">
        <f aca="false">O53-O54</f>
        <v>7500</v>
      </c>
      <c r="P56" s="391" t="n">
        <f aca="false">P53-P54</f>
        <v>6250</v>
      </c>
      <c r="Q56" s="391" t="n">
        <f aca="false">Q53-Q54</f>
        <v>5000</v>
      </c>
      <c r="R56" s="391" t="n">
        <f aca="false">R53-R54</f>
        <v>3750</v>
      </c>
      <c r="S56" s="391" t="n">
        <f aca="false">S53-S54</f>
        <v>2500</v>
      </c>
      <c r="T56" s="391" t="n">
        <f aca="false">T53-T54</f>
        <v>1250</v>
      </c>
      <c r="U56" s="391" t="n">
        <f aca="false">U53-U54</f>
        <v>0</v>
      </c>
      <c r="V56" s="391" t="n">
        <f aca="false">V53-V54</f>
        <v>0</v>
      </c>
      <c r="W56" s="391" t="n">
        <f aca="false">W53-W54</f>
        <v>0</v>
      </c>
      <c r="X56" s="391"/>
      <c r="Y56" s="391"/>
      <c r="Z56" s="391"/>
      <c r="AA56" s="393"/>
      <c r="AB56" s="393"/>
      <c r="AC56" s="391"/>
      <c r="AD56" s="391"/>
      <c r="AE56" s="391"/>
      <c r="AF56" s="398"/>
      <c r="AG56" s="391"/>
      <c r="AH56" s="181"/>
    </row>
    <row r="57" customFormat="false" ht="12.75" hidden="false" customHeight="false" outlineLevel="0" collapsed="false">
      <c r="A57" s="391"/>
      <c r="B57" s="394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3"/>
      <c r="AB57" s="393"/>
      <c r="AC57" s="391"/>
      <c r="AD57" s="391"/>
      <c r="AE57" s="391"/>
      <c r="AF57" s="398"/>
      <c r="AG57" s="391"/>
      <c r="AH57" s="181"/>
    </row>
    <row r="58" customFormat="false" ht="12.75" hidden="false" customHeight="false" outlineLevel="0" collapsed="false">
      <c r="A58" s="395" t="s">
        <v>309</v>
      </c>
      <c r="B58" s="394" t="n">
        <f aca="false">B55+B50</f>
        <v>1000</v>
      </c>
      <c r="C58" s="394" t="n">
        <f aca="false">C55+C50</f>
        <v>1875</v>
      </c>
      <c r="D58" s="394" t="n">
        <f aca="false">D55+D50</f>
        <v>1775</v>
      </c>
      <c r="E58" s="394" t="n">
        <f aca="false">E55+E50</f>
        <v>1675</v>
      </c>
      <c r="F58" s="394" t="n">
        <f aca="false">F55+F50</f>
        <v>1575</v>
      </c>
      <c r="G58" s="394" t="n">
        <f aca="false">G55+G50</f>
        <v>1475</v>
      </c>
      <c r="H58" s="394" t="n">
        <f aca="false">H55+H50</f>
        <v>1375</v>
      </c>
      <c r="I58" s="394" t="n">
        <f aca="false">I55+I50</f>
        <v>1275</v>
      </c>
      <c r="J58" s="394" t="n">
        <f aca="false">J55+J50</f>
        <v>1175</v>
      </c>
      <c r="K58" s="394" t="n">
        <f aca="false">K55+K50</f>
        <v>1075</v>
      </c>
      <c r="L58" s="394" t="n">
        <f aca="false">L55+L50</f>
        <v>975</v>
      </c>
      <c r="M58" s="394" t="n">
        <f aca="false">M55+M50</f>
        <v>875</v>
      </c>
      <c r="N58" s="394" t="n">
        <f aca="false">N55+N50</f>
        <v>775</v>
      </c>
      <c r="O58" s="394" t="n">
        <f aca="false">O55+O50</f>
        <v>675</v>
      </c>
      <c r="P58" s="394" t="n">
        <f aca="false">P55+P50</f>
        <v>575</v>
      </c>
      <c r="Q58" s="394" t="n">
        <f aca="false">Q55+Q50</f>
        <v>475</v>
      </c>
      <c r="R58" s="394" t="n">
        <f aca="false">R55+R50</f>
        <v>375</v>
      </c>
      <c r="S58" s="394" t="n">
        <f aca="false">S55+S50</f>
        <v>275</v>
      </c>
      <c r="T58" s="394" t="n">
        <f aca="false">T55+T50</f>
        <v>175</v>
      </c>
      <c r="U58" s="394" t="n">
        <f aca="false">U55+U50</f>
        <v>75</v>
      </c>
      <c r="V58" s="394" t="n">
        <f aca="false">V55+V50</f>
        <v>0</v>
      </c>
      <c r="W58" s="394" t="n">
        <f aca="false">W55+W50</f>
        <v>0</v>
      </c>
      <c r="X58" s="391"/>
      <c r="Y58" s="391"/>
      <c r="Z58" s="391"/>
      <c r="AA58" s="393"/>
      <c r="AB58" s="393"/>
      <c r="AC58" s="391"/>
      <c r="AD58" s="391"/>
      <c r="AE58" s="391"/>
      <c r="AF58" s="398"/>
      <c r="AG58" s="391"/>
      <c r="AH58" s="181"/>
    </row>
    <row r="59" customFormat="false" ht="12.75" hidden="false" customHeight="false" outlineLevel="0" collapsed="false">
      <c r="A59" s="318" t="s">
        <v>310</v>
      </c>
      <c r="B59" s="394" t="n">
        <v>0</v>
      </c>
      <c r="C59" s="391" t="n">
        <v>0</v>
      </c>
      <c r="D59" s="391" t="n">
        <v>0</v>
      </c>
      <c r="E59" s="391" t="n">
        <v>0</v>
      </c>
      <c r="F59" s="391" t="n">
        <v>0</v>
      </c>
      <c r="G59" s="391" t="n">
        <v>0</v>
      </c>
      <c r="H59" s="391" t="n">
        <v>0</v>
      </c>
      <c r="I59" s="391" t="n">
        <v>0</v>
      </c>
      <c r="J59" s="391" t="n">
        <v>0</v>
      </c>
      <c r="K59" s="391" t="n">
        <v>0</v>
      </c>
      <c r="L59" s="391" t="n">
        <v>0</v>
      </c>
      <c r="M59" s="391" t="n">
        <v>0</v>
      </c>
      <c r="N59" s="391" t="n">
        <v>0</v>
      </c>
      <c r="O59" s="391" t="n">
        <v>0</v>
      </c>
      <c r="P59" s="391" t="n">
        <v>0</v>
      </c>
      <c r="Q59" s="391" t="n">
        <v>0</v>
      </c>
      <c r="R59" s="391" t="n">
        <v>0</v>
      </c>
      <c r="S59" s="391" t="n">
        <v>0</v>
      </c>
      <c r="T59" s="391" t="n">
        <v>0</v>
      </c>
      <c r="U59" s="391" t="n">
        <v>0</v>
      </c>
      <c r="V59" s="391" t="n">
        <v>0</v>
      </c>
      <c r="W59" s="391" t="n">
        <v>0</v>
      </c>
      <c r="AA59" s="1"/>
      <c r="AB59" s="1"/>
      <c r="AF59" s="84"/>
      <c r="AG59" s="391"/>
      <c r="AH59" s="181"/>
    </row>
    <row r="60" customFormat="false" ht="12.75" hidden="false" customHeight="false" outlineLevel="0" collapsed="false">
      <c r="A60" s="395" t="s">
        <v>311</v>
      </c>
      <c r="B60" s="394" t="n">
        <f aca="false">B54+B49</f>
        <v>1250</v>
      </c>
      <c r="C60" s="394" t="n">
        <f aca="false">C54+C49</f>
        <v>1250</v>
      </c>
      <c r="D60" s="394" t="n">
        <f aca="false">D54+D49</f>
        <v>1250</v>
      </c>
      <c r="E60" s="394" t="n">
        <f aca="false">E54+E49</f>
        <v>1250</v>
      </c>
      <c r="F60" s="394" t="n">
        <f aca="false">F54+F49</f>
        <v>1250</v>
      </c>
      <c r="G60" s="394" t="n">
        <f aca="false">G54+G49</f>
        <v>1250</v>
      </c>
      <c r="H60" s="394" t="n">
        <f aca="false">H54+H49</f>
        <v>1250</v>
      </c>
      <c r="I60" s="394" t="n">
        <f aca="false">I54+I49</f>
        <v>1250</v>
      </c>
      <c r="J60" s="394" t="n">
        <f aca="false">J54+J49</f>
        <v>1250</v>
      </c>
      <c r="K60" s="394" t="n">
        <f aca="false">K54+K49</f>
        <v>1250</v>
      </c>
      <c r="L60" s="394" t="n">
        <f aca="false">L54+L49</f>
        <v>1250</v>
      </c>
      <c r="M60" s="394" t="n">
        <f aca="false">M54+M49</f>
        <v>1250</v>
      </c>
      <c r="N60" s="394" t="n">
        <f aca="false">N54+N49</f>
        <v>1250</v>
      </c>
      <c r="O60" s="394" t="n">
        <f aca="false">O54+O49</f>
        <v>1250</v>
      </c>
      <c r="P60" s="394" t="n">
        <f aca="false">P54+P49</f>
        <v>1250</v>
      </c>
      <c r="Q60" s="394" t="n">
        <f aca="false">Q54+Q49</f>
        <v>1250</v>
      </c>
      <c r="R60" s="394" t="n">
        <f aca="false">R54+R49</f>
        <v>1250</v>
      </c>
      <c r="S60" s="394" t="n">
        <f aca="false">S54+S49</f>
        <v>1250</v>
      </c>
      <c r="T60" s="394" t="n">
        <f aca="false">T54+T49</f>
        <v>1250</v>
      </c>
      <c r="U60" s="394" t="n">
        <f aca="false">U54+U49</f>
        <v>1250</v>
      </c>
      <c r="V60" s="394" t="n">
        <f aca="false">V54+V49</f>
        <v>0</v>
      </c>
      <c r="W60" s="394" t="n">
        <f aca="false">W54+W49</f>
        <v>0</v>
      </c>
      <c r="AA60" s="1"/>
      <c r="AB60" s="1"/>
      <c r="AF60" s="84"/>
      <c r="AG60" s="391"/>
      <c r="AH60" s="181"/>
    </row>
    <row r="61" customFormat="false" ht="12.75" hidden="false" customHeight="false" outlineLevel="0" collapsed="false">
      <c r="B61" s="397"/>
      <c r="C61" s="391"/>
      <c r="D61" s="391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3"/>
      <c r="AB61" s="393"/>
      <c r="AC61" s="391"/>
      <c r="AD61" s="391"/>
      <c r="AE61" s="391"/>
      <c r="AF61" s="392"/>
      <c r="AG61" s="391"/>
      <c r="AH61" s="181"/>
    </row>
    <row r="62" customFormat="false" ht="12.75" hidden="false" customHeight="false" outlineLevel="0" collapsed="false">
      <c r="B62" s="394"/>
      <c r="C62" s="391"/>
      <c r="D62" s="391"/>
      <c r="E62" s="391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3"/>
      <c r="AB62" s="393"/>
      <c r="AC62" s="391"/>
      <c r="AD62" s="391"/>
      <c r="AE62" s="391"/>
      <c r="AF62" s="398"/>
      <c r="AG62" s="391"/>
      <c r="AH62" s="181"/>
    </row>
    <row r="63" customFormat="false" ht="12.75" hidden="false" customHeight="false" outlineLevel="0" collapsed="false">
      <c r="A63" s="388" t="str">
        <f aca="false">CONCATENATE("Tranche 3 @ ",R7*100,"%")</f>
        <v>Tranche 3 @ 8%</v>
      </c>
      <c r="B63" s="39"/>
      <c r="C63" s="389"/>
      <c r="AA63" s="1"/>
      <c r="AB63" s="1"/>
      <c r="AF63" s="84"/>
    </row>
    <row r="64" customFormat="false" ht="12.75" hidden="false" customHeight="false" outlineLevel="0" collapsed="false">
      <c r="A64" s="396" t="n">
        <f aca="false">A30</f>
        <v>36739</v>
      </c>
      <c r="B64" s="394"/>
      <c r="AA64" s="1"/>
      <c r="AB64" s="1"/>
      <c r="AF64" s="84"/>
    </row>
    <row r="65" customFormat="false" ht="12.75" hidden="false" customHeight="false" outlineLevel="0" collapsed="false">
      <c r="A65" s="391" t="s">
        <v>305</v>
      </c>
      <c r="B65" s="397" t="n">
        <f aca="false">R10</f>
        <v>40000</v>
      </c>
      <c r="C65" s="391" t="n">
        <f aca="false">B73</f>
        <v>38000</v>
      </c>
      <c r="D65" s="391" t="n">
        <f aca="false">C73</f>
        <v>36000</v>
      </c>
      <c r="E65" s="391" t="n">
        <f aca="false">D73</f>
        <v>34000</v>
      </c>
      <c r="F65" s="391" t="n">
        <f aca="false">E73</f>
        <v>32000</v>
      </c>
      <c r="G65" s="391" t="n">
        <f aca="false">F73</f>
        <v>30000</v>
      </c>
      <c r="H65" s="391" t="n">
        <f aca="false">G73</f>
        <v>28000</v>
      </c>
      <c r="I65" s="391" t="n">
        <f aca="false">H73</f>
        <v>26000</v>
      </c>
      <c r="J65" s="391" t="n">
        <f aca="false">I73</f>
        <v>24000</v>
      </c>
      <c r="K65" s="391" t="n">
        <f aca="false">J73</f>
        <v>22000</v>
      </c>
      <c r="L65" s="391" t="n">
        <f aca="false">K73</f>
        <v>20000</v>
      </c>
      <c r="M65" s="391" t="n">
        <f aca="false">L73</f>
        <v>18000</v>
      </c>
      <c r="N65" s="391" t="n">
        <f aca="false">M73</f>
        <v>16000</v>
      </c>
      <c r="O65" s="391" t="n">
        <f aca="false">N73</f>
        <v>14000</v>
      </c>
      <c r="P65" s="391" t="n">
        <f aca="false">O73</f>
        <v>12000</v>
      </c>
      <c r="Q65" s="391" t="n">
        <f aca="false">P73</f>
        <v>10000</v>
      </c>
      <c r="R65" s="391" t="n">
        <f aca="false">Q73</f>
        <v>8000</v>
      </c>
      <c r="S65" s="391" t="n">
        <f aca="false">R73</f>
        <v>6000</v>
      </c>
      <c r="T65" s="391" t="n">
        <f aca="false">S73</f>
        <v>4000</v>
      </c>
      <c r="U65" s="391" t="n">
        <f aca="false">T73</f>
        <v>2000</v>
      </c>
      <c r="V65" s="391" t="n">
        <f aca="false">U73</f>
        <v>0</v>
      </c>
      <c r="W65" s="391" t="n">
        <f aca="false">V73</f>
        <v>0</v>
      </c>
      <c r="X65" s="391"/>
      <c r="Y65" s="391"/>
      <c r="Z65" s="391"/>
      <c r="AA65" s="393"/>
      <c r="AB65" s="393"/>
      <c r="AC65" s="391"/>
      <c r="AD65" s="391"/>
      <c r="AE65" s="391"/>
      <c r="AF65" s="392"/>
      <c r="AG65" s="391"/>
      <c r="AH65" s="181"/>
    </row>
    <row r="66" customFormat="false" ht="12.75" hidden="false" customHeight="false" outlineLevel="0" collapsed="false">
      <c r="A66" s="391" t="s">
        <v>306</v>
      </c>
      <c r="B66" s="394" t="n">
        <v>0</v>
      </c>
      <c r="C66" s="391" t="n">
        <f aca="false">$B$65*C26/2</f>
        <v>1000</v>
      </c>
      <c r="D66" s="391" t="n">
        <f aca="false">$B$65*D26/2</f>
        <v>1000</v>
      </c>
      <c r="E66" s="391" t="n">
        <f aca="false">$B$65*E26/2</f>
        <v>1000</v>
      </c>
      <c r="F66" s="391" t="n">
        <f aca="false">$B$65*F26/2</f>
        <v>1000</v>
      </c>
      <c r="G66" s="391" t="n">
        <f aca="false">$B$65*G26/2</f>
        <v>1000</v>
      </c>
      <c r="H66" s="391" t="n">
        <f aca="false">$B$65*H26/2</f>
        <v>1000</v>
      </c>
      <c r="I66" s="391" t="n">
        <f aca="false">$B$65*I26/2</f>
        <v>1000</v>
      </c>
      <c r="J66" s="391" t="n">
        <f aca="false">$B$65*J26/2</f>
        <v>1000</v>
      </c>
      <c r="K66" s="391" t="n">
        <f aca="false">$B$65*K26/2</f>
        <v>1000</v>
      </c>
      <c r="L66" s="391" t="n">
        <f aca="false">$B$65*L26/2</f>
        <v>1000</v>
      </c>
      <c r="M66" s="391" t="n">
        <f aca="false">$B$65*M26/2</f>
        <v>1000</v>
      </c>
      <c r="N66" s="391" t="n">
        <f aca="false">$B$65*N26/2</f>
        <v>1000</v>
      </c>
      <c r="O66" s="391" t="n">
        <f aca="false">$B$65*O26/2</f>
        <v>1000</v>
      </c>
      <c r="P66" s="391" t="n">
        <f aca="false">$B$65*P26/2</f>
        <v>1000</v>
      </c>
      <c r="Q66" s="391" t="n">
        <f aca="false">$B$65*Q26/2</f>
        <v>1000</v>
      </c>
      <c r="R66" s="391" t="n">
        <f aca="false">$B$65*R26/2</f>
        <v>1000</v>
      </c>
      <c r="S66" s="391" t="n">
        <f aca="false">$B$65*S26/2</f>
        <v>1000</v>
      </c>
      <c r="T66" s="391" t="n">
        <f aca="false">$B$65*T26/2</f>
        <v>1000</v>
      </c>
      <c r="U66" s="391" t="n">
        <f aca="false">$B$65*U26/2</f>
        <v>1000</v>
      </c>
      <c r="V66" s="391" t="n">
        <f aca="false">$B$65*V26/2</f>
        <v>0</v>
      </c>
      <c r="W66" s="391" t="n">
        <f aca="false">$B$65*W26/2</f>
        <v>0</v>
      </c>
      <c r="X66" s="398"/>
      <c r="Y66" s="398"/>
      <c r="Z66" s="398"/>
      <c r="AA66" s="393"/>
      <c r="AB66" s="393"/>
      <c r="AC66" s="398"/>
      <c r="AD66" s="398"/>
      <c r="AE66" s="398"/>
      <c r="AF66" s="398"/>
      <c r="AG66" s="398"/>
      <c r="AH66" s="181"/>
    </row>
    <row r="67" customFormat="false" ht="12.75" hidden="false" customHeight="false" outlineLevel="0" collapsed="false">
      <c r="A67" s="391" t="s">
        <v>307</v>
      </c>
      <c r="B67" s="394" t="n">
        <v>0</v>
      </c>
      <c r="C67" s="391" t="n">
        <f aca="false">C65*$R$7/2</f>
        <v>1520</v>
      </c>
      <c r="D67" s="391" t="n">
        <f aca="false">D65*$R$7/2</f>
        <v>1440</v>
      </c>
      <c r="E67" s="391" t="n">
        <f aca="false">E65*$R$7/2</f>
        <v>1360</v>
      </c>
      <c r="F67" s="391" t="n">
        <f aca="false">F65*$R$7/2</f>
        <v>1280</v>
      </c>
      <c r="G67" s="391" t="n">
        <f aca="false">G65*$R$7/2</f>
        <v>1200</v>
      </c>
      <c r="H67" s="391" t="n">
        <f aca="false">H65*$R$7/2</f>
        <v>1120</v>
      </c>
      <c r="I67" s="391" t="n">
        <f aca="false">I65*$R$7/2</f>
        <v>1040</v>
      </c>
      <c r="J67" s="391" t="n">
        <f aca="false">J65*$R$7/2</f>
        <v>960</v>
      </c>
      <c r="K67" s="391" t="n">
        <f aca="false">K65*$R$7/2</f>
        <v>880</v>
      </c>
      <c r="L67" s="391" t="n">
        <f aca="false">L65*$R$7/2</f>
        <v>800</v>
      </c>
      <c r="M67" s="391" t="n">
        <f aca="false">M65*$R$7/2</f>
        <v>720</v>
      </c>
      <c r="N67" s="391" t="n">
        <f aca="false">N65*$R$7/2</f>
        <v>640</v>
      </c>
      <c r="O67" s="391" t="n">
        <f aca="false">O65*$R$7/2</f>
        <v>560</v>
      </c>
      <c r="P67" s="391" t="n">
        <f aca="false">P65*$R$7/2</f>
        <v>480</v>
      </c>
      <c r="Q67" s="391" t="n">
        <f aca="false">Q65*$R$7/2</f>
        <v>400</v>
      </c>
      <c r="R67" s="391" t="n">
        <f aca="false">R65*$R$7/2</f>
        <v>320</v>
      </c>
      <c r="S67" s="391" t="n">
        <f aca="false">S65*$R$7/2</f>
        <v>240</v>
      </c>
      <c r="T67" s="391" t="n">
        <f aca="false">T65*$R$7/2</f>
        <v>160</v>
      </c>
      <c r="U67" s="391" t="n">
        <f aca="false">U65*$R$7/2</f>
        <v>80</v>
      </c>
      <c r="V67" s="391" t="n">
        <f aca="false">V65*$R$7/2</f>
        <v>0</v>
      </c>
      <c r="W67" s="391" t="n">
        <f aca="false">W65*$R$7/2</f>
        <v>0</v>
      </c>
      <c r="X67" s="398"/>
      <c r="Y67" s="398"/>
      <c r="Z67" s="398"/>
      <c r="AA67" s="393"/>
      <c r="AB67" s="393"/>
      <c r="AC67" s="398"/>
      <c r="AD67" s="398"/>
      <c r="AE67" s="398"/>
      <c r="AF67" s="398"/>
      <c r="AG67" s="398"/>
      <c r="AH67" s="181"/>
    </row>
    <row r="68" customFormat="false" ht="12.75" hidden="false" customHeight="false" outlineLevel="0" collapsed="false">
      <c r="A68" s="391" t="s">
        <v>308</v>
      </c>
      <c r="B68" s="394" t="n">
        <f aca="false">B65-B66</f>
        <v>40000</v>
      </c>
      <c r="C68" s="391" t="n">
        <f aca="false">C65-C66</f>
        <v>37000</v>
      </c>
      <c r="D68" s="391" t="n">
        <f aca="false">D65-D66</f>
        <v>35000</v>
      </c>
      <c r="E68" s="391" t="n">
        <f aca="false">E65-E66</f>
        <v>33000</v>
      </c>
      <c r="F68" s="391" t="n">
        <f aca="false">F65-F66</f>
        <v>31000</v>
      </c>
      <c r="G68" s="391" t="n">
        <f aca="false">G65-G66</f>
        <v>29000</v>
      </c>
      <c r="H68" s="391" t="n">
        <f aca="false">H65-H66</f>
        <v>27000</v>
      </c>
      <c r="I68" s="391" t="n">
        <f aca="false">I65-I66</f>
        <v>25000</v>
      </c>
      <c r="J68" s="391" t="n">
        <f aca="false">J65-J66</f>
        <v>23000</v>
      </c>
      <c r="K68" s="391" t="n">
        <f aca="false">K65-K66</f>
        <v>21000</v>
      </c>
      <c r="L68" s="391" t="n">
        <f aca="false">L65-L66</f>
        <v>19000</v>
      </c>
      <c r="M68" s="398" t="n">
        <f aca="false">M65-M66</f>
        <v>17000</v>
      </c>
      <c r="N68" s="398" t="n">
        <f aca="false">N65-N66</f>
        <v>15000</v>
      </c>
      <c r="O68" s="398" t="n">
        <f aca="false">O65-O66</f>
        <v>13000</v>
      </c>
      <c r="P68" s="398" t="n">
        <f aca="false">P65-P66</f>
        <v>11000</v>
      </c>
      <c r="Q68" s="398" t="n">
        <f aca="false">Q65-Q66</f>
        <v>9000</v>
      </c>
      <c r="R68" s="398" t="n">
        <f aca="false">R65-R66</f>
        <v>7000</v>
      </c>
      <c r="S68" s="398" t="n">
        <f aca="false">S65-S66</f>
        <v>5000</v>
      </c>
      <c r="T68" s="398" t="n">
        <f aca="false">T65-T66</f>
        <v>3000</v>
      </c>
      <c r="U68" s="398" t="n">
        <f aca="false">U65-U66</f>
        <v>1000</v>
      </c>
      <c r="V68" s="398" t="n">
        <f aca="false">V65-V66</f>
        <v>0</v>
      </c>
      <c r="W68" s="398" t="n">
        <f aca="false">W65-W66</f>
        <v>0</v>
      </c>
      <c r="X68" s="398"/>
      <c r="Y68" s="398"/>
      <c r="Z68" s="398"/>
      <c r="AA68" s="393"/>
      <c r="AB68" s="393"/>
      <c r="AC68" s="398"/>
      <c r="AD68" s="398"/>
      <c r="AE68" s="398"/>
      <c r="AF68" s="398"/>
      <c r="AG68" s="398"/>
      <c r="AH68" s="181"/>
    </row>
    <row r="69" customFormat="false" ht="12.75" hidden="false" customHeight="false" outlineLevel="0" collapsed="false">
      <c r="A69" s="396" t="n">
        <f aca="false">A35</f>
        <v>36557</v>
      </c>
      <c r="B69" s="394"/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398"/>
      <c r="U69" s="398"/>
      <c r="V69" s="398"/>
      <c r="W69" s="398"/>
      <c r="X69" s="391"/>
      <c r="Y69" s="391"/>
      <c r="Z69" s="391"/>
      <c r="AA69" s="393"/>
      <c r="AB69" s="393"/>
      <c r="AC69" s="391"/>
      <c r="AD69" s="391"/>
      <c r="AE69" s="391"/>
      <c r="AF69" s="398"/>
      <c r="AG69" s="391"/>
      <c r="AH69" s="181"/>
    </row>
    <row r="70" customFormat="false" ht="12.75" hidden="false" customHeight="false" outlineLevel="0" collapsed="false">
      <c r="A70" s="391" t="s">
        <v>305</v>
      </c>
      <c r="B70" s="394" t="n">
        <f aca="false">B68</f>
        <v>40000</v>
      </c>
      <c r="C70" s="391" t="n">
        <f aca="false">C68</f>
        <v>37000</v>
      </c>
      <c r="D70" s="391" t="n">
        <f aca="false">D68</f>
        <v>35000</v>
      </c>
      <c r="E70" s="391" t="n">
        <f aca="false">E68</f>
        <v>33000</v>
      </c>
      <c r="F70" s="391" t="n">
        <f aca="false">F68</f>
        <v>31000</v>
      </c>
      <c r="G70" s="391" t="n">
        <f aca="false">G68</f>
        <v>29000</v>
      </c>
      <c r="H70" s="391" t="n">
        <f aca="false">H68</f>
        <v>27000</v>
      </c>
      <c r="I70" s="391" t="n">
        <f aca="false">I68</f>
        <v>25000</v>
      </c>
      <c r="J70" s="391" t="n">
        <f aca="false">J68</f>
        <v>23000</v>
      </c>
      <c r="K70" s="391" t="n">
        <f aca="false">K68</f>
        <v>21000</v>
      </c>
      <c r="L70" s="391" t="n">
        <f aca="false">L68</f>
        <v>19000</v>
      </c>
      <c r="M70" s="391" t="n">
        <f aca="false">M68</f>
        <v>17000</v>
      </c>
      <c r="N70" s="391" t="n">
        <f aca="false">N68</f>
        <v>15000</v>
      </c>
      <c r="O70" s="391" t="n">
        <f aca="false">O68</f>
        <v>13000</v>
      </c>
      <c r="P70" s="391" t="n">
        <f aca="false">P68</f>
        <v>11000</v>
      </c>
      <c r="Q70" s="391" t="n">
        <f aca="false">Q68</f>
        <v>9000</v>
      </c>
      <c r="R70" s="391" t="n">
        <f aca="false">R68</f>
        <v>7000</v>
      </c>
      <c r="S70" s="391" t="n">
        <f aca="false">S68</f>
        <v>5000</v>
      </c>
      <c r="T70" s="391" t="n">
        <f aca="false">T68</f>
        <v>3000</v>
      </c>
      <c r="U70" s="391" t="n">
        <f aca="false">U68</f>
        <v>1000</v>
      </c>
      <c r="V70" s="391" t="n">
        <f aca="false">V68</f>
        <v>0</v>
      </c>
      <c r="W70" s="391" t="n">
        <f aca="false">W68</f>
        <v>0</v>
      </c>
      <c r="X70" s="391"/>
      <c r="Y70" s="391"/>
      <c r="Z70" s="391"/>
      <c r="AA70" s="393"/>
      <c r="AB70" s="393"/>
      <c r="AC70" s="391"/>
      <c r="AD70" s="391"/>
      <c r="AE70" s="391"/>
      <c r="AF70" s="398"/>
      <c r="AG70" s="391"/>
      <c r="AH70" s="181"/>
    </row>
    <row r="71" customFormat="false" ht="12.75" hidden="false" customHeight="false" outlineLevel="0" collapsed="false">
      <c r="A71" s="391" t="s">
        <v>306</v>
      </c>
      <c r="B71" s="394" t="n">
        <f aca="false">B65*B26</f>
        <v>2000</v>
      </c>
      <c r="C71" s="391" t="n">
        <f aca="false">$B$65*C26/2</f>
        <v>1000</v>
      </c>
      <c r="D71" s="391" t="n">
        <f aca="false">$B$65*D26/2</f>
        <v>1000</v>
      </c>
      <c r="E71" s="391" t="n">
        <f aca="false">$B$65*E26/2</f>
        <v>1000</v>
      </c>
      <c r="F71" s="391" t="n">
        <f aca="false">$B$65*F26/2</f>
        <v>1000</v>
      </c>
      <c r="G71" s="391" t="n">
        <f aca="false">$B$65*G26/2</f>
        <v>1000</v>
      </c>
      <c r="H71" s="391" t="n">
        <f aca="false">$B$65*H26/2</f>
        <v>1000</v>
      </c>
      <c r="I71" s="391" t="n">
        <f aca="false">$B$65*I26/2</f>
        <v>1000</v>
      </c>
      <c r="J71" s="391" t="n">
        <f aca="false">$B$65*J26/2</f>
        <v>1000</v>
      </c>
      <c r="K71" s="391" t="n">
        <f aca="false">$B$65*K26/2</f>
        <v>1000</v>
      </c>
      <c r="L71" s="391" t="n">
        <f aca="false">$B$65*L26/2</f>
        <v>1000</v>
      </c>
      <c r="M71" s="391" t="n">
        <f aca="false">$B$65*M26/2</f>
        <v>1000</v>
      </c>
      <c r="N71" s="391" t="n">
        <f aca="false">$B$65*N26/2</f>
        <v>1000</v>
      </c>
      <c r="O71" s="391" t="n">
        <f aca="false">$B$65*O26/2</f>
        <v>1000</v>
      </c>
      <c r="P71" s="391" t="n">
        <f aca="false">$B$65*P26/2</f>
        <v>1000</v>
      </c>
      <c r="Q71" s="391" t="n">
        <f aca="false">$B$65*Q26/2</f>
        <v>1000</v>
      </c>
      <c r="R71" s="391" t="n">
        <f aca="false">$B$65*R26/2</f>
        <v>1000</v>
      </c>
      <c r="S71" s="391" t="n">
        <f aca="false">$B$65*S26/2</f>
        <v>1000</v>
      </c>
      <c r="T71" s="391" t="n">
        <f aca="false">$B$65*T26/2</f>
        <v>1000</v>
      </c>
      <c r="U71" s="391" t="n">
        <f aca="false">$B$65*U26/2</f>
        <v>1000</v>
      </c>
      <c r="V71" s="391" t="n">
        <f aca="false">$B$65*V26/2</f>
        <v>0</v>
      </c>
      <c r="W71" s="391" t="n">
        <f aca="false">$B$65*W26/2</f>
        <v>0</v>
      </c>
      <c r="X71" s="391"/>
      <c r="Y71" s="391"/>
      <c r="Z71" s="391"/>
      <c r="AA71" s="393"/>
      <c r="AB71" s="393"/>
      <c r="AC71" s="391"/>
      <c r="AD71" s="391"/>
      <c r="AE71" s="391"/>
      <c r="AF71" s="398"/>
      <c r="AG71" s="391"/>
      <c r="AH71" s="181"/>
    </row>
    <row r="72" customFormat="false" ht="12.75" hidden="false" customHeight="false" outlineLevel="0" collapsed="false">
      <c r="A72" s="391" t="s">
        <v>307</v>
      </c>
      <c r="B72" s="394" t="n">
        <f aca="false">B70*$R$7/2</f>
        <v>1600</v>
      </c>
      <c r="C72" s="394" t="n">
        <f aca="false">C70*$R$7/2</f>
        <v>1480</v>
      </c>
      <c r="D72" s="394" t="n">
        <f aca="false">D70*$R$7/2</f>
        <v>1400</v>
      </c>
      <c r="E72" s="394" t="n">
        <f aca="false">E70*$R$7/2</f>
        <v>1320</v>
      </c>
      <c r="F72" s="394" t="n">
        <f aca="false">F70*$R$7/2</f>
        <v>1240</v>
      </c>
      <c r="G72" s="394" t="n">
        <f aca="false">G70*$R$7/2</f>
        <v>1160</v>
      </c>
      <c r="H72" s="394" t="n">
        <f aca="false">H70*$R$7/2</f>
        <v>1080</v>
      </c>
      <c r="I72" s="394" t="n">
        <f aca="false">I70*$R$7/2</f>
        <v>1000</v>
      </c>
      <c r="J72" s="394" t="n">
        <f aca="false">J70*$R$7/2</f>
        <v>920</v>
      </c>
      <c r="K72" s="394" t="n">
        <f aca="false">K70*$R$7/2</f>
        <v>840</v>
      </c>
      <c r="L72" s="394" t="n">
        <f aca="false">L70*$R$7/2</f>
        <v>760</v>
      </c>
      <c r="M72" s="394" t="n">
        <f aca="false">M70*$R$7/2</f>
        <v>680</v>
      </c>
      <c r="N72" s="394" t="n">
        <f aca="false">N70*$R$7/2</f>
        <v>600</v>
      </c>
      <c r="O72" s="394" t="n">
        <f aca="false">O70*$R$7/2</f>
        <v>520</v>
      </c>
      <c r="P72" s="394" t="n">
        <f aca="false">P70*$R$7/2</f>
        <v>440</v>
      </c>
      <c r="Q72" s="394" t="n">
        <f aca="false">Q70*$R$7/2</f>
        <v>360</v>
      </c>
      <c r="R72" s="394" t="n">
        <f aca="false">R70*$R$7/2</f>
        <v>280</v>
      </c>
      <c r="S72" s="394" t="n">
        <f aca="false">S70*$R$7/2</f>
        <v>200</v>
      </c>
      <c r="T72" s="394" t="n">
        <f aca="false">T70*$R$7/2</f>
        <v>120</v>
      </c>
      <c r="U72" s="394" t="n">
        <f aca="false">U70*$R$7/2</f>
        <v>40</v>
      </c>
      <c r="V72" s="394" t="n">
        <f aca="false">V70*$R$7/2</f>
        <v>0</v>
      </c>
      <c r="W72" s="394" t="n">
        <f aca="false">W70*$R$7/2</f>
        <v>0</v>
      </c>
      <c r="X72" s="391"/>
      <c r="Y72" s="391"/>
      <c r="Z72" s="391"/>
      <c r="AA72" s="393"/>
      <c r="AB72" s="393"/>
      <c r="AC72" s="391"/>
      <c r="AD72" s="391"/>
      <c r="AE72" s="391"/>
      <c r="AF72" s="398"/>
      <c r="AG72" s="391"/>
      <c r="AH72" s="181"/>
    </row>
    <row r="73" customFormat="false" ht="12.75" hidden="false" customHeight="false" outlineLevel="0" collapsed="false">
      <c r="A73" s="391" t="s">
        <v>308</v>
      </c>
      <c r="B73" s="391" t="n">
        <f aca="false">B70-B71</f>
        <v>38000</v>
      </c>
      <c r="C73" s="391" t="n">
        <f aca="false">C70-C71</f>
        <v>36000</v>
      </c>
      <c r="D73" s="391" t="n">
        <f aca="false">D70-D71</f>
        <v>34000</v>
      </c>
      <c r="E73" s="391" t="n">
        <f aca="false">E70-E71</f>
        <v>32000</v>
      </c>
      <c r="F73" s="391" t="n">
        <f aca="false">F70-F71</f>
        <v>30000</v>
      </c>
      <c r="G73" s="391" t="n">
        <f aca="false">G70-G71</f>
        <v>28000</v>
      </c>
      <c r="H73" s="391" t="n">
        <f aca="false">H70-H71</f>
        <v>26000</v>
      </c>
      <c r="I73" s="391" t="n">
        <f aca="false">I70-I71</f>
        <v>24000</v>
      </c>
      <c r="J73" s="391" t="n">
        <f aca="false">J70-J71</f>
        <v>22000</v>
      </c>
      <c r="K73" s="391" t="n">
        <f aca="false">K70-K71</f>
        <v>20000</v>
      </c>
      <c r="L73" s="391" t="n">
        <f aca="false">L70-L71</f>
        <v>18000</v>
      </c>
      <c r="M73" s="391" t="n">
        <f aca="false">M70-M71</f>
        <v>16000</v>
      </c>
      <c r="N73" s="391" t="n">
        <f aca="false">N70-N71</f>
        <v>14000</v>
      </c>
      <c r="O73" s="391" t="n">
        <f aca="false">O70-O71</f>
        <v>12000</v>
      </c>
      <c r="P73" s="391" t="n">
        <f aca="false">P70-P71</f>
        <v>10000</v>
      </c>
      <c r="Q73" s="391" t="n">
        <f aca="false">Q70-Q71</f>
        <v>8000</v>
      </c>
      <c r="R73" s="391" t="n">
        <f aca="false">R70-R71</f>
        <v>6000</v>
      </c>
      <c r="S73" s="391" t="n">
        <f aca="false">S70-S71</f>
        <v>4000</v>
      </c>
      <c r="T73" s="398" t="n">
        <f aca="false">T70-T71</f>
        <v>2000</v>
      </c>
      <c r="U73" s="398" t="n">
        <f aca="false">U70-U71</f>
        <v>0</v>
      </c>
      <c r="V73" s="398" t="n">
        <f aca="false">V70-V71</f>
        <v>0</v>
      </c>
      <c r="W73" s="398" t="n">
        <f aca="false">W70-W71</f>
        <v>0</v>
      </c>
      <c r="X73" s="391"/>
      <c r="Y73" s="391"/>
      <c r="Z73" s="391"/>
      <c r="AA73" s="393"/>
      <c r="AB73" s="393"/>
      <c r="AC73" s="391"/>
      <c r="AD73" s="391"/>
      <c r="AE73" s="391"/>
      <c r="AF73" s="398"/>
      <c r="AG73" s="391"/>
      <c r="AH73" s="181"/>
    </row>
    <row r="74" customFormat="false" ht="12.75" hidden="false" customHeight="false" outlineLevel="0" collapsed="false">
      <c r="A74" s="391"/>
      <c r="B74" s="391"/>
      <c r="C74" s="391"/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398"/>
      <c r="U74" s="398"/>
      <c r="V74" s="398"/>
      <c r="W74" s="398"/>
      <c r="X74" s="391"/>
      <c r="Y74" s="391"/>
      <c r="Z74" s="391"/>
      <c r="AA74" s="393"/>
      <c r="AB74" s="393"/>
      <c r="AC74" s="391"/>
      <c r="AD74" s="391"/>
      <c r="AE74" s="391"/>
      <c r="AF74" s="398"/>
      <c r="AG74" s="391"/>
      <c r="AH74" s="181"/>
    </row>
    <row r="75" customFormat="false" ht="12.75" hidden="false" customHeight="false" outlineLevel="0" collapsed="false">
      <c r="A75" s="395" t="s">
        <v>309</v>
      </c>
      <c r="B75" s="391" t="n">
        <f aca="false">B72+B67</f>
        <v>1600</v>
      </c>
      <c r="C75" s="391" t="n">
        <f aca="false">C72+C67</f>
        <v>3000</v>
      </c>
      <c r="D75" s="391" t="n">
        <f aca="false">D72+D67</f>
        <v>2840</v>
      </c>
      <c r="E75" s="391" t="n">
        <f aca="false">E72+E67</f>
        <v>2680</v>
      </c>
      <c r="F75" s="391" t="n">
        <f aca="false">F72+F67</f>
        <v>2520</v>
      </c>
      <c r="G75" s="391" t="n">
        <f aca="false">G72+G67</f>
        <v>2360</v>
      </c>
      <c r="H75" s="391" t="n">
        <f aca="false">H72+H67</f>
        <v>2200</v>
      </c>
      <c r="I75" s="391" t="n">
        <f aca="false">I72+I67</f>
        <v>2040</v>
      </c>
      <c r="J75" s="391" t="n">
        <f aca="false">J72+J67</f>
        <v>1880</v>
      </c>
      <c r="K75" s="391" t="n">
        <f aca="false">K72+K67</f>
        <v>1720</v>
      </c>
      <c r="L75" s="391" t="n">
        <f aca="false">L72+L67</f>
        <v>1560</v>
      </c>
      <c r="M75" s="391" t="n">
        <f aca="false">M72+M67</f>
        <v>1400</v>
      </c>
      <c r="N75" s="391" t="n">
        <f aca="false">N72+N67</f>
        <v>1240</v>
      </c>
      <c r="O75" s="391" t="n">
        <f aca="false">O72+O67</f>
        <v>1080</v>
      </c>
      <c r="P75" s="391" t="n">
        <f aca="false">P72+P67</f>
        <v>920</v>
      </c>
      <c r="Q75" s="391" t="n">
        <f aca="false">Q72+Q67</f>
        <v>760</v>
      </c>
      <c r="R75" s="391" t="n">
        <f aca="false">R72+R67</f>
        <v>600</v>
      </c>
      <c r="S75" s="391" t="n">
        <f aca="false">S72+S67</f>
        <v>440</v>
      </c>
      <c r="T75" s="391" t="n">
        <f aca="false">T72+T67</f>
        <v>280</v>
      </c>
      <c r="U75" s="391" t="n">
        <f aca="false">U72+U67</f>
        <v>120</v>
      </c>
      <c r="V75" s="391" t="n">
        <f aca="false">V72+V67</f>
        <v>0</v>
      </c>
      <c r="W75" s="391" t="n">
        <f aca="false">W72+W67</f>
        <v>0</v>
      </c>
      <c r="X75" s="391"/>
      <c r="Y75" s="391"/>
      <c r="Z75" s="391"/>
      <c r="AA75" s="393"/>
      <c r="AB75" s="393"/>
      <c r="AC75" s="391"/>
      <c r="AD75" s="391"/>
      <c r="AE75" s="391"/>
      <c r="AF75" s="398"/>
      <c r="AG75" s="391"/>
      <c r="AH75" s="181"/>
    </row>
    <row r="76" customFormat="false" ht="12.75" hidden="false" customHeight="false" outlineLevel="0" collapsed="false">
      <c r="A76" s="318" t="s">
        <v>310</v>
      </c>
      <c r="B76" s="391" t="n">
        <v>0</v>
      </c>
      <c r="C76" s="391" t="n">
        <v>0</v>
      </c>
      <c r="D76" s="391" t="n">
        <v>0</v>
      </c>
      <c r="E76" s="391" t="n">
        <v>0</v>
      </c>
      <c r="F76" s="391" t="n">
        <v>0</v>
      </c>
      <c r="G76" s="391" t="n">
        <v>0</v>
      </c>
      <c r="H76" s="391" t="n">
        <v>0</v>
      </c>
      <c r="I76" s="391" t="n">
        <v>0</v>
      </c>
      <c r="J76" s="391" t="n">
        <v>0</v>
      </c>
      <c r="K76" s="391" t="n">
        <v>0</v>
      </c>
      <c r="L76" s="391" t="n">
        <v>0</v>
      </c>
      <c r="M76" s="391" t="n">
        <v>0</v>
      </c>
      <c r="N76" s="391" t="n">
        <v>0</v>
      </c>
      <c r="O76" s="391" t="n">
        <v>0</v>
      </c>
      <c r="P76" s="391" t="n">
        <v>0</v>
      </c>
      <c r="Q76" s="391" t="n">
        <v>0</v>
      </c>
      <c r="R76" s="391" t="n">
        <v>0</v>
      </c>
      <c r="S76" s="391" t="n">
        <v>0</v>
      </c>
      <c r="T76" s="398" t="n">
        <v>0</v>
      </c>
      <c r="U76" s="398" t="n">
        <v>0</v>
      </c>
      <c r="V76" s="398" t="n">
        <v>0</v>
      </c>
      <c r="W76" s="398" t="n">
        <v>0</v>
      </c>
      <c r="AA76" s="1"/>
      <c r="AB76" s="1"/>
      <c r="AF76" s="84"/>
      <c r="AG76" s="391"/>
      <c r="AH76" s="181"/>
    </row>
    <row r="77" customFormat="false" ht="12.75" hidden="false" customHeight="false" outlineLevel="0" collapsed="false">
      <c r="A77" s="395" t="s">
        <v>311</v>
      </c>
      <c r="B77" s="394" t="n">
        <f aca="false">B71+B66</f>
        <v>2000</v>
      </c>
      <c r="C77" s="394" t="n">
        <f aca="false">C71+C66</f>
        <v>2000</v>
      </c>
      <c r="D77" s="394" t="n">
        <f aca="false">D71+D66</f>
        <v>2000</v>
      </c>
      <c r="E77" s="394" t="n">
        <f aca="false">E71+E66</f>
        <v>2000</v>
      </c>
      <c r="F77" s="394" t="n">
        <f aca="false">F71+F66</f>
        <v>2000</v>
      </c>
      <c r="G77" s="394" t="n">
        <f aca="false">G71+G66</f>
        <v>2000</v>
      </c>
      <c r="H77" s="394" t="n">
        <f aca="false">H71+H66</f>
        <v>2000</v>
      </c>
      <c r="I77" s="394" t="n">
        <f aca="false">I71+I66</f>
        <v>2000</v>
      </c>
      <c r="J77" s="394" t="n">
        <f aca="false">J71+J66</f>
        <v>2000</v>
      </c>
      <c r="K77" s="394" t="n">
        <f aca="false">K71+K66</f>
        <v>2000</v>
      </c>
      <c r="L77" s="394" t="n">
        <f aca="false">L71+L66</f>
        <v>2000</v>
      </c>
      <c r="M77" s="394" t="n">
        <f aca="false">M71+M66</f>
        <v>2000</v>
      </c>
      <c r="N77" s="394" t="n">
        <f aca="false">N71+N66</f>
        <v>2000</v>
      </c>
      <c r="O77" s="394" t="n">
        <f aca="false">O71+O66</f>
        <v>2000</v>
      </c>
      <c r="P77" s="394" t="n">
        <f aca="false">P71+P66</f>
        <v>2000</v>
      </c>
      <c r="Q77" s="394" t="n">
        <f aca="false">Q71+Q66</f>
        <v>2000</v>
      </c>
      <c r="R77" s="394" t="n">
        <f aca="false">R71+R66</f>
        <v>2000</v>
      </c>
      <c r="S77" s="394" t="n">
        <f aca="false">S71+S66</f>
        <v>2000</v>
      </c>
      <c r="T77" s="394" t="n">
        <f aca="false">T71+T66</f>
        <v>2000</v>
      </c>
      <c r="U77" s="394" t="n">
        <f aca="false">U71+U66</f>
        <v>2000</v>
      </c>
      <c r="V77" s="394" t="n">
        <f aca="false">V71+V66</f>
        <v>0</v>
      </c>
      <c r="W77" s="394" t="n">
        <f aca="false">W71+W66</f>
        <v>0</v>
      </c>
      <c r="AA77" s="1"/>
      <c r="AB77" s="1"/>
      <c r="AF77" s="84"/>
      <c r="AG77" s="391"/>
      <c r="AH77" s="181"/>
    </row>
    <row r="78" customFormat="false" ht="12.75" hidden="false" customHeight="false" outlineLevel="0" collapsed="false">
      <c r="T78" s="84"/>
      <c r="U78" s="84"/>
      <c r="V78" s="84"/>
      <c r="W78" s="84"/>
    </row>
    <row r="80" customFormat="false" ht="12.75" hidden="false" customHeight="false" outlineLevel="0" collapsed="false">
      <c r="A80" s="399" t="s">
        <v>261</v>
      </c>
      <c r="B80" s="400" t="n">
        <f aca="false">IS!D42</f>
        <v>5396.63680373333</v>
      </c>
      <c r="C80" s="400" t="n">
        <f aca="false">IS!E42</f>
        <v>9844.29990903917</v>
      </c>
      <c r="D80" s="400" t="n">
        <f aca="false">IS!F42</f>
        <v>9870.09859830293</v>
      </c>
      <c r="E80" s="400" t="n">
        <f aca="false">IS!G42</f>
        <v>21225.8011500404</v>
      </c>
      <c r="F80" s="400" t="n">
        <f aca="false">IS!H42</f>
        <v>33297.7862180378</v>
      </c>
      <c r="G80" s="400" t="n">
        <f aca="false">IS!I42</f>
        <v>33768.2098284335</v>
      </c>
      <c r="H80" s="400" t="n">
        <f aca="false">IS!J42</f>
        <v>34234.8946429622</v>
      </c>
      <c r="I80" s="400" t="n">
        <f aca="false">IS!K42</f>
        <v>34702.6424625121</v>
      </c>
      <c r="J80" s="400" t="n">
        <f aca="false">IS!L42</f>
        <v>35801.3189548153</v>
      </c>
      <c r="K80" s="400" t="n">
        <f aca="false">IS!M42</f>
        <v>36277.2366141835</v>
      </c>
      <c r="L80" s="400" t="n">
        <f aca="false">IS!N42</f>
        <v>37427.309916696</v>
      </c>
      <c r="M80" s="400" t="n">
        <f aca="false">IS!O42</f>
        <v>37130.0818092386</v>
      </c>
      <c r="N80" s="400" t="n">
        <f aca="false">IS!P42</f>
        <v>38387.3764693318</v>
      </c>
      <c r="O80" s="400" t="n">
        <f aca="false">IS!Q42</f>
        <v>38958.3610139091</v>
      </c>
      <c r="P80" s="400" t="n">
        <f aca="false">IS!R42</f>
        <v>39520.3766320561</v>
      </c>
      <c r="Q80" s="400" t="n">
        <f aca="false">IS!S42</f>
        <v>40071.7787564727</v>
      </c>
      <c r="R80" s="400" t="n">
        <f aca="false">IS!T42</f>
        <v>40643.0185447426</v>
      </c>
      <c r="S80" s="400" t="n">
        <f aca="false">IS!U42</f>
        <v>41214.2310905319</v>
      </c>
      <c r="T80" s="400" t="n">
        <f aca="false">IS!V42</f>
        <v>41763.2618812672</v>
      </c>
      <c r="U80" s="400" t="n">
        <f aca="false">IS!W42</f>
        <v>42181.5754320479</v>
      </c>
      <c r="V80" s="400" t="n">
        <f aca="false">IS!X42</f>
        <v>42515.1580828426</v>
      </c>
      <c r="W80" s="400" t="n">
        <f aca="false">IS!Y42</f>
        <v>43068.0174928538</v>
      </c>
      <c r="X80" s="0"/>
      <c r="Y80" s="0"/>
      <c r="Z80" s="0"/>
      <c r="AA80" s="0"/>
      <c r="AB80" s="327"/>
      <c r="AC80" s="400"/>
      <c r="AD80" s="400"/>
      <c r="AE80" s="400"/>
      <c r="AF80" s="400"/>
      <c r="AG80" s="400"/>
      <c r="AH80" s="268"/>
      <c r="AI80" s="268"/>
      <c r="AJ80" s="268"/>
      <c r="AK80" s="268"/>
      <c r="AL80" s="268"/>
      <c r="AM80" s="268"/>
    </row>
    <row r="81" customFormat="false" ht="12.75" hidden="false" customHeight="false" outlineLevel="0" collapsed="false">
      <c r="A81" s="333"/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0"/>
      <c r="Y81" s="0"/>
      <c r="Z81" s="0"/>
      <c r="AA81" s="0"/>
      <c r="AB81" s="402"/>
      <c r="AC81" s="333"/>
      <c r="AD81" s="333"/>
      <c r="AE81" s="333"/>
      <c r="AF81" s="333"/>
      <c r="AG81" s="333"/>
      <c r="AH81" s="333"/>
      <c r="AI81" s="333"/>
      <c r="AJ81" s="333"/>
      <c r="AK81" s="333"/>
      <c r="AL81" s="333"/>
      <c r="AM81" s="333"/>
    </row>
    <row r="82" customFormat="false" ht="12.75" hidden="false" customHeight="false" outlineLevel="0" collapsed="false">
      <c r="A82" s="401" t="s">
        <v>312</v>
      </c>
      <c r="B82" s="401" t="n">
        <f aca="false">B32+B33+B37+B38</f>
        <v>1350</v>
      </c>
      <c r="C82" s="401" t="n">
        <f aca="false">C32+C33+C37+C38</f>
        <v>1875</v>
      </c>
      <c r="D82" s="401" t="n">
        <f aca="false">D32+D33+D37+D38</f>
        <v>1815</v>
      </c>
      <c r="E82" s="401" t="n">
        <f aca="false">E32+E33+E37+E38</f>
        <v>1755</v>
      </c>
      <c r="F82" s="401" t="n">
        <f aca="false">F32+F33+F37+F38</f>
        <v>1695</v>
      </c>
      <c r="G82" s="401" t="n">
        <f aca="false">G32+G33+G37+G38</f>
        <v>1635</v>
      </c>
      <c r="H82" s="401" t="n">
        <f aca="false">H32+H33+H37+H38</f>
        <v>1575</v>
      </c>
      <c r="I82" s="401" t="n">
        <f aca="false">I32+I33+I37+I38</f>
        <v>1515</v>
      </c>
      <c r="J82" s="401" t="n">
        <f aca="false">J32+J33+J37+J38</f>
        <v>1455</v>
      </c>
      <c r="K82" s="401" t="n">
        <f aca="false">K32+K33+K37+K38</f>
        <v>1395</v>
      </c>
      <c r="L82" s="401" t="n">
        <f aca="false">L32+L33+L37+L38</f>
        <v>1335</v>
      </c>
      <c r="M82" s="401" t="n">
        <f aca="false">M32+M33+M37+M38</f>
        <v>1275</v>
      </c>
      <c r="N82" s="401" t="n">
        <f aca="false">N32+N33+N37+N38</f>
        <v>1215</v>
      </c>
      <c r="O82" s="401" t="n">
        <f aca="false">O32+O33+O37+O38</f>
        <v>1155</v>
      </c>
      <c r="P82" s="401" t="n">
        <f aca="false">P32+P33+P37+P38</f>
        <v>1095</v>
      </c>
      <c r="Q82" s="401" t="n">
        <f aca="false">Q32+Q33+Q37+Q38</f>
        <v>1035</v>
      </c>
      <c r="R82" s="401" t="n">
        <f aca="false">R32+R33+R37+R38</f>
        <v>975</v>
      </c>
      <c r="S82" s="401" t="n">
        <f aca="false">S32+S33+S37+S38</f>
        <v>915</v>
      </c>
      <c r="T82" s="401" t="n">
        <f aca="false">T32+T33+T37+T38</f>
        <v>855</v>
      </c>
      <c r="U82" s="401" t="n">
        <f aca="false">U32+U33+U37+U38</f>
        <v>795</v>
      </c>
      <c r="V82" s="401" t="n">
        <f aca="false">V32+V33+V37+V38</f>
        <v>0</v>
      </c>
      <c r="W82" s="401" t="n">
        <f aca="false">W32+W33+W37+W38</f>
        <v>0</v>
      </c>
      <c r="X82" s="0"/>
      <c r="Y82" s="0"/>
      <c r="Z82" s="0"/>
      <c r="AA82" s="0"/>
      <c r="AB82" s="403"/>
      <c r="AC82" s="401"/>
      <c r="AD82" s="401"/>
      <c r="AE82" s="401"/>
      <c r="AF82" s="401"/>
      <c r="AG82" s="401"/>
      <c r="AH82" s="401"/>
      <c r="AI82" s="401"/>
      <c r="AJ82" s="401"/>
      <c r="AK82" s="401"/>
      <c r="AL82" s="401"/>
      <c r="AM82" s="401"/>
    </row>
    <row r="83" customFormat="false" ht="12.75" hidden="false" customHeight="false" outlineLevel="0" collapsed="false">
      <c r="A83" s="401" t="s">
        <v>313</v>
      </c>
      <c r="B83" s="401" t="n">
        <f aca="false">B49+B50+B54+B55</f>
        <v>2250</v>
      </c>
      <c r="C83" s="401" t="n">
        <f aca="false">C49+C50+C54+C55</f>
        <v>3125</v>
      </c>
      <c r="D83" s="401" t="n">
        <f aca="false">D49+D50+D54+D55</f>
        <v>3025</v>
      </c>
      <c r="E83" s="401" t="n">
        <f aca="false">E49+E50+E54+E55</f>
        <v>2925</v>
      </c>
      <c r="F83" s="401" t="n">
        <f aca="false">F49+F50+F54+F55</f>
        <v>2825</v>
      </c>
      <c r="G83" s="401" t="n">
        <f aca="false">G49+G50+G54+G55</f>
        <v>2725</v>
      </c>
      <c r="H83" s="401" t="n">
        <f aca="false">H49+H50+H54+H55</f>
        <v>2625</v>
      </c>
      <c r="I83" s="401" t="n">
        <f aca="false">I49+I50+I54+I55</f>
        <v>2525</v>
      </c>
      <c r="J83" s="401" t="n">
        <f aca="false">J49+J50+J54+J55</f>
        <v>2425</v>
      </c>
      <c r="K83" s="401" t="n">
        <f aca="false">K49+K50+K54+K55</f>
        <v>2325</v>
      </c>
      <c r="L83" s="401" t="n">
        <f aca="false">L49+L50+L54+L55</f>
        <v>2225</v>
      </c>
      <c r="M83" s="401" t="n">
        <f aca="false">M49+M50+M54+M55</f>
        <v>2125</v>
      </c>
      <c r="N83" s="401" t="n">
        <f aca="false">N49+N50+N54+N55</f>
        <v>2025</v>
      </c>
      <c r="O83" s="401" t="n">
        <f aca="false">O49+O50+O54+O55</f>
        <v>1925</v>
      </c>
      <c r="P83" s="401" t="n">
        <f aca="false">P49+P50+P54+P55</f>
        <v>1825</v>
      </c>
      <c r="Q83" s="401" t="n">
        <f aca="false">Q49+Q50+Q54+Q55</f>
        <v>1725</v>
      </c>
      <c r="R83" s="401" t="n">
        <f aca="false">R49+R50+R54+R55</f>
        <v>1625</v>
      </c>
      <c r="S83" s="401" t="n">
        <f aca="false">S49+S50+S54+S55</f>
        <v>1525</v>
      </c>
      <c r="T83" s="401" t="n">
        <f aca="false">T49+T50+T54+T55</f>
        <v>1425</v>
      </c>
      <c r="U83" s="401" t="n">
        <f aca="false">U49+U50+U54+U55</f>
        <v>1325</v>
      </c>
      <c r="V83" s="401" t="n">
        <f aca="false">V49+V50+V54+V55</f>
        <v>0</v>
      </c>
      <c r="W83" s="401" t="n">
        <f aca="false">W49+W50+W54+W55</f>
        <v>0</v>
      </c>
      <c r="X83" s="0"/>
      <c r="Y83" s="0"/>
      <c r="Z83" s="0"/>
      <c r="AA83" s="0"/>
      <c r="AB83" s="403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</row>
    <row r="84" customFormat="false" ht="12.75" hidden="false" customHeight="false" outlineLevel="0" collapsed="false">
      <c r="A84" s="401" t="s">
        <v>314</v>
      </c>
      <c r="B84" s="401" t="n">
        <f aca="false">B66+B67+B71+B72</f>
        <v>3600</v>
      </c>
      <c r="C84" s="401" t="n">
        <f aca="false">C66+C67+C71+C72</f>
        <v>5000</v>
      </c>
      <c r="D84" s="401" t="n">
        <f aca="false">D66+D67+D71+D72</f>
        <v>4840</v>
      </c>
      <c r="E84" s="401" t="n">
        <f aca="false">E66+E67+E71+E72</f>
        <v>4680</v>
      </c>
      <c r="F84" s="401" t="n">
        <f aca="false">F66+F67+F71+F72</f>
        <v>4520</v>
      </c>
      <c r="G84" s="401" t="n">
        <f aca="false">G66+G67+G71+G72</f>
        <v>4360</v>
      </c>
      <c r="H84" s="401" t="n">
        <f aca="false">H66+H67+H71+H72</f>
        <v>4200</v>
      </c>
      <c r="I84" s="401" t="n">
        <f aca="false">I66+I67+I71+I72</f>
        <v>4040</v>
      </c>
      <c r="J84" s="401" t="n">
        <f aca="false">J66+J67+J71+J72</f>
        <v>3880</v>
      </c>
      <c r="K84" s="401" t="n">
        <f aca="false">K66+K67+K71+K72</f>
        <v>3720</v>
      </c>
      <c r="L84" s="401" t="n">
        <f aca="false">L66+L67+L71+L72</f>
        <v>3560</v>
      </c>
      <c r="M84" s="401" t="n">
        <f aca="false">M66+M67+M71+M72</f>
        <v>3400</v>
      </c>
      <c r="N84" s="401" t="n">
        <f aca="false">N66+N67+N71+N72</f>
        <v>3240</v>
      </c>
      <c r="O84" s="401" t="n">
        <f aca="false">O66+O67+O71+O72</f>
        <v>3080</v>
      </c>
      <c r="P84" s="401" t="n">
        <f aca="false">P66+P67+P71+P72</f>
        <v>2920</v>
      </c>
      <c r="Q84" s="401" t="n">
        <f aca="false">Q66+Q67+Q71+Q72</f>
        <v>2760</v>
      </c>
      <c r="R84" s="401" t="n">
        <f aca="false">R66+R67+R71+R72</f>
        <v>2600</v>
      </c>
      <c r="S84" s="401" t="n">
        <f aca="false">S66+S67+S71+S72</f>
        <v>2440</v>
      </c>
      <c r="T84" s="401" t="n">
        <f aca="false">T66+T67+T71+T72</f>
        <v>2280</v>
      </c>
      <c r="U84" s="401" t="n">
        <f aca="false">U66+U67+U71+U72</f>
        <v>2120</v>
      </c>
      <c r="V84" s="401" t="n">
        <f aca="false">V66+V67+V71+V72</f>
        <v>0</v>
      </c>
      <c r="W84" s="401" t="n">
        <f aca="false">W66+W67+W71+W72</f>
        <v>0</v>
      </c>
      <c r="X84" s="0"/>
      <c r="Y84" s="0"/>
      <c r="Z84" s="0"/>
      <c r="AA84" s="0"/>
      <c r="AB84" s="403"/>
      <c r="AC84" s="401"/>
      <c r="AD84" s="401"/>
      <c r="AE84" s="401"/>
      <c r="AF84" s="401"/>
      <c r="AG84" s="401"/>
      <c r="AH84" s="401"/>
      <c r="AI84" s="401"/>
      <c r="AJ84" s="401"/>
      <c r="AK84" s="401"/>
      <c r="AL84" s="401"/>
      <c r="AM84" s="401"/>
    </row>
    <row r="85" customFormat="false" ht="12.75" hidden="false" customHeight="false" outlineLevel="0" collapsed="false">
      <c r="A85" s="333" t="s">
        <v>315</v>
      </c>
      <c r="B85" s="404" t="n">
        <v>0</v>
      </c>
      <c r="C85" s="404" t="n">
        <v>0</v>
      </c>
      <c r="D85" s="405" t="n">
        <v>0</v>
      </c>
      <c r="E85" s="405" t="n">
        <v>0</v>
      </c>
      <c r="F85" s="405" t="n">
        <v>0</v>
      </c>
      <c r="G85" s="405" t="n">
        <v>0</v>
      </c>
      <c r="H85" s="405" t="n">
        <v>0</v>
      </c>
      <c r="I85" s="405" t="n">
        <v>0</v>
      </c>
      <c r="J85" s="405" t="n">
        <v>0</v>
      </c>
      <c r="K85" s="405" t="n">
        <v>0</v>
      </c>
      <c r="L85" s="405" t="n">
        <v>0</v>
      </c>
      <c r="M85" s="405" t="n">
        <v>0</v>
      </c>
      <c r="N85" s="405" t="n">
        <v>0</v>
      </c>
      <c r="O85" s="405" t="n">
        <v>0</v>
      </c>
      <c r="P85" s="405" t="n">
        <v>0</v>
      </c>
      <c r="Q85" s="405" t="n">
        <v>0</v>
      </c>
      <c r="R85" s="405" t="n">
        <v>0</v>
      </c>
      <c r="S85" s="405" t="n">
        <v>0</v>
      </c>
      <c r="T85" s="405" t="n">
        <v>0</v>
      </c>
      <c r="U85" s="405" t="n">
        <v>0</v>
      </c>
      <c r="V85" s="405" t="n">
        <v>0</v>
      </c>
      <c r="W85" s="405" t="n">
        <v>0</v>
      </c>
      <c r="X85" s="0"/>
      <c r="Y85" s="0"/>
      <c r="Z85" s="0"/>
      <c r="AA85" s="0"/>
      <c r="AB85" s="403"/>
      <c r="AC85" s="401"/>
      <c r="AD85" s="401"/>
      <c r="AE85" s="401"/>
      <c r="AF85" s="401"/>
      <c r="AG85" s="401"/>
      <c r="AH85" s="401"/>
      <c r="AI85" s="401"/>
      <c r="AJ85" s="401"/>
      <c r="AK85" s="401"/>
      <c r="AL85" s="401"/>
      <c r="AM85" s="401"/>
    </row>
    <row r="86" customFormat="false" ht="12.75" hidden="false" customHeight="false" outlineLevel="0" collapsed="false">
      <c r="B86" s="391"/>
      <c r="C86" s="391"/>
      <c r="D86" s="391"/>
      <c r="E86" s="391"/>
      <c r="F86" s="391"/>
      <c r="G86" s="391"/>
      <c r="H86" s="391"/>
      <c r="I86" s="391"/>
      <c r="J86" s="391"/>
      <c r="K86" s="391"/>
      <c r="L86" s="391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0"/>
      <c r="Y86" s="0"/>
      <c r="Z86" s="0"/>
      <c r="AA86" s="0"/>
      <c r="AB86" s="403"/>
      <c r="AC86" s="401"/>
      <c r="AD86" s="401"/>
      <c r="AE86" s="401"/>
      <c r="AF86" s="401"/>
      <c r="AG86" s="401"/>
      <c r="AH86" s="401"/>
      <c r="AI86" s="401"/>
      <c r="AJ86" s="401"/>
      <c r="AK86" s="401"/>
      <c r="AL86" s="401"/>
      <c r="AM86" s="401"/>
    </row>
    <row r="87" customFormat="false" ht="12.75" hidden="false" customHeight="false" outlineLevel="0" collapsed="false">
      <c r="A87" s="395" t="s">
        <v>316</v>
      </c>
      <c r="B87" s="395" t="n">
        <f aca="false">SUM(B82:B84)-B85</f>
        <v>7200</v>
      </c>
      <c r="C87" s="395" t="n">
        <f aca="false">SUM(C82:C84)-C85</f>
        <v>10000</v>
      </c>
      <c r="D87" s="395" t="n">
        <f aca="false">SUM(D82:D84)-D85</f>
        <v>9680</v>
      </c>
      <c r="E87" s="395" t="n">
        <f aca="false">SUM(E82:E84)-E85</f>
        <v>9360</v>
      </c>
      <c r="F87" s="395" t="n">
        <f aca="false">SUM(F82:F84)-F85</f>
        <v>9040</v>
      </c>
      <c r="G87" s="395" t="n">
        <f aca="false">SUM(G82:G84)-G85</f>
        <v>8720</v>
      </c>
      <c r="H87" s="395" t="n">
        <f aca="false">SUM(H82:H84)-H85</f>
        <v>8400</v>
      </c>
      <c r="I87" s="395" t="n">
        <f aca="false">SUM(I82:I84)-I85</f>
        <v>8080</v>
      </c>
      <c r="J87" s="395" t="n">
        <f aca="false">SUM(J82:J84)-J85</f>
        <v>7760</v>
      </c>
      <c r="K87" s="395" t="n">
        <f aca="false">SUM(K82:K84)-K85</f>
        <v>7440</v>
      </c>
      <c r="L87" s="395" t="n">
        <f aca="false">SUM(L82:L84)-L85</f>
        <v>7120</v>
      </c>
      <c r="M87" s="395" t="n">
        <f aca="false">SUM(M82:M84)-M85</f>
        <v>6800</v>
      </c>
      <c r="N87" s="395" t="n">
        <f aca="false">SUM(N82:N84)-N85</f>
        <v>6480</v>
      </c>
      <c r="O87" s="395" t="n">
        <f aca="false">SUM(O82:O84)-O85</f>
        <v>6160</v>
      </c>
      <c r="P87" s="395" t="n">
        <f aca="false">SUM(P82:P84)-P85</f>
        <v>5840</v>
      </c>
      <c r="Q87" s="395" t="n">
        <f aca="false">SUM(Q82:Q84)-Q85</f>
        <v>5520</v>
      </c>
      <c r="R87" s="395" t="n">
        <f aca="false">SUM(R82:R84)-R85</f>
        <v>5200</v>
      </c>
      <c r="S87" s="395" t="n">
        <f aca="false">SUM(S82:S84)-S85</f>
        <v>4880</v>
      </c>
      <c r="T87" s="395" t="n">
        <f aca="false">SUM(T82:T84)-T85</f>
        <v>4560</v>
      </c>
      <c r="U87" s="395" t="n">
        <f aca="false">SUM(U82:U84)-U85</f>
        <v>4240</v>
      </c>
      <c r="V87" s="395" t="n">
        <f aca="false">SUM(V82:V84)-V85</f>
        <v>0</v>
      </c>
      <c r="W87" s="395" t="n">
        <f aca="false">SUM(W82:W84)-W85</f>
        <v>0</v>
      </c>
      <c r="X87" s="0"/>
      <c r="Y87" s="0"/>
      <c r="Z87" s="0"/>
      <c r="AA87" s="0"/>
      <c r="AB87" s="397"/>
      <c r="AC87" s="395"/>
      <c r="AD87" s="395"/>
      <c r="AE87" s="395"/>
      <c r="AF87" s="395"/>
      <c r="AG87" s="395"/>
      <c r="AH87" s="395"/>
      <c r="AI87" s="395"/>
      <c r="AJ87" s="395"/>
      <c r="AK87" s="395"/>
      <c r="AL87" s="395"/>
      <c r="AM87" s="395"/>
    </row>
    <row r="88" customFormat="false" ht="12.75" hidden="false" customHeight="false" outlineLevel="0" collapsed="false">
      <c r="A88" s="395"/>
      <c r="B88" s="395"/>
      <c r="C88" s="39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0"/>
      <c r="Y88" s="0"/>
      <c r="Z88" s="0"/>
      <c r="AA88" s="0"/>
      <c r="AB88" s="397"/>
      <c r="AC88" s="395"/>
      <c r="AD88" s="395"/>
      <c r="AE88" s="395"/>
      <c r="AF88" s="395"/>
      <c r="AG88" s="395"/>
      <c r="AH88" s="395"/>
      <c r="AI88" s="395"/>
      <c r="AJ88" s="395"/>
      <c r="AK88" s="395"/>
      <c r="AL88" s="395"/>
      <c r="AM88" s="395"/>
    </row>
    <row r="89" customFormat="false" ht="12.75" hidden="false" customHeight="false" outlineLevel="0" collapsed="false">
      <c r="A89" s="395" t="s">
        <v>317</v>
      </c>
      <c r="B89" s="395" t="n">
        <f aca="false">B41+B58+B75</f>
        <v>3200</v>
      </c>
      <c r="C89" s="395" t="n">
        <f aca="false">C41+C58+C75</f>
        <v>6000</v>
      </c>
      <c r="D89" s="395" t="n">
        <f aca="false">D41+D58+D75</f>
        <v>5680</v>
      </c>
      <c r="E89" s="395" t="n">
        <f aca="false">E41+E58+E75</f>
        <v>5360</v>
      </c>
      <c r="F89" s="395" t="n">
        <f aca="false">F41+F58+F75</f>
        <v>5040</v>
      </c>
      <c r="G89" s="395" t="n">
        <f aca="false">G41+G58+G75</f>
        <v>4720</v>
      </c>
      <c r="H89" s="395" t="n">
        <f aca="false">H41+H58+H75</f>
        <v>4400</v>
      </c>
      <c r="I89" s="395" t="n">
        <f aca="false">I41+I58+I75</f>
        <v>4080</v>
      </c>
      <c r="J89" s="395" t="n">
        <f aca="false">J41+J58+J75</f>
        <v>3760</v>
      </c>
      <c r="K89" s="395" t="n">
        <f aca="false">K41+K58+K75</f>
        <v>3440</v>
      </c>
      <c r="L89" s="395" t="n">
        <f aca="false">L41+L58+L75</f>
        <v>3120</v>
      </c>
      <c r="M89" s="395" t="n">
        <f aca="false">M41+M58+M75</f>
        <v>2800</v>
      </c>
      <c r="N89" s="395" t="n">
        <f aca="false">N41+N58+N75</f>
        <v>2480</v>
      </c>
      <c r="O89" s="395" t="n">
        <f aca="false">O41+O58+O75</f>
        <v>2160</v>
      </c>
      <c r="P89" s="395" t="n">
        <f aca="false">P41+P58+P75</f>
        <v>1840</v>
      </c>
      <c r="Q89" s="395" t="n">
        <f aca="false">Q41+Q58+Q75</f>
        <v>1520</v>
      </c>
      <c r="R89" s="395" t="n">
        <f aca="false">R41+R58+R75</f>
        <v>1200</v>
      </c>
      <c r="S89" s="395" t="n">
        <f aca="false">S41+S58+S75</f>
        <v>880</v>
      </c>
      <c r="T89" s="395" t="n">
        <f aca="false">T41+T58+T75</f>
        <v>560</v>
      </c>
      <c r="U89" s="395" t="n">
        <f aca="false">U41+U58+U75</f>
        <v>240</v>
      </c>
      <c r="V89" s="395" t="n">
        <f aca="false">V41+V58+V75</f>
        <v>0</v>
      </c>
      <c r="W89" s="395" t="n">
        <f aca="false">W41+W58+W75</f>
        <v>0</v>
      </c>
      <c r="X89" s="0"/>
      <c r="Y89" s="0"/>
      <c r="Z89" s="0"/>
      <c r="AA89" s="0"/>
      <c r="AB89" s="397"/>
      <c r="AC89" s="395"/>
      <c r="AD89" s="395"/>
      <c r="AE89" s="395"/>
      <c r="AF89" s="395"/>
      <c r="AG89" s="395"/>
      <c r="AH89" s="395"/>
      <c r="AI89" s="395"/>
      <c r="AJ89" s="395"/>
      <c r="AK89" s="395"/>
      <c r="AL89" s="395"/>
      <c r="AM89" s="395"/>
    </row>
    <row r="90" customFormat="false" ht="12.75" hidden="false" customHeight="false" outlineLevel="0" collapsed="false">
      <c r="A90" s="395" t="s">
        <v>318</v>
      </c>
      <c r="B90" s="395" t="n">
        <f aca="false">B42+B59+B76</f>
        <v>0</v>
      </c>
      <c r="C90" s="395" t="n">
        <f aca="false">C42+C59+C76</f>
        <v>0</v>
      </c>
      <c r="D90" s="395" t="n">
        <f aca="false">D42+D59+D76</f>
        <v>0</v>
      </c>
      <c r="E90" s="395" t="n">
        <f aca="false">E42+E59+E76</f>
        <v>0</v>
      </c>
      <c r="F90" s="395" t="n">
        <f aca="false">F42+F59+F76</f>
        <v>0</v>
      </c>
      <c r="G90" s="395" t="n">
        <f aca="false">G42+G59+G76</f>
        <v>0</v>
      </c>
      <c r="H90" s="395" t="n">
        <f aca="false">H42+H59+H76</f>
        <v>0</v>
      </c>
      <c r="I90" s="395" t="n">
        <f aca="false">I42+I59+I76</f>
        <v>0</v>
      </c>
      <c r="J90" s="395" t="n">
        <f aca="false">J42+J59+J76</f>
        <v>0</v>
      </c>
      <c r="K90" s="395" t="n">
        <f aca="false">K42+K59+K76</f>
        <v>0</v>
      </c>
      <c r="L90" s="395" t="n">
        <f aca="false">L42+L59+L76</f>
        <v>0</v>
      </c>
      <c r="M90" s="395" t="n">
        <f aca="false">M42+M59+M76</f>
        <v>0</v>
      </c>
      <c r="N90" s="395" t="n">
        <f aca="false">N42+N59+N76</f>
        <v>0</v>
      </c>
      <c r="O90" s="395" t="n">
        <f aca="false">O42+O59+O76</f>
        <v>0</v>
      </c>
      <c r="P90" s="395" t="n">
        <f aca="false">P42+P59+P76</f>
        <v>0</v>
      </c>
      <c r="Q90" s="395" t="n">
        <f aca="false">Q42+Q59+Q76</f>
        <v>0</v>
      </c>
      <c r="R90" s="395" t="n">
        <f aca="false">R42+R59+R76</f>
        <v>0</v>
      </c>
      <c r="S90" s="395" t="n">
        <f aca="false">S42+S59+S76</f>
        <v>0</v>
      </c>
      <c r="T90" s="395" t="n">
        <f aca="false">T42+T59+T76</f>
        <v>0</v>
      </c>
      <c r="U90" s="395" t="n">
        <f aca="false">U42+U59+U76</f>
        <v>0</v>
      </c>
      <c r="V90" s="395" t="n">
        <f aca="false">V42+V59+V76</f>
        <v>0</v>
      </c>
      <c r="W90" s="395" t="n">
        <f aca="false">W42+W59+W76</f>
        <v>0</v>
      </c>
      <c r="X90" s="0"/>
      <c r="Y90" s="0"/>
      <c r="Z90" s="0"/>
      <c r="AA90" s="0"/>
      <c r="AB90" s="397"/>
      <c r="AC90" s="395"/>
      <c r="AD90" s="395"/>
      <c r="AE90" s="395"/>
      <c r="AF90" s="395"/>
      <c r="AG90" s="395"/>
      <c r="AH90" s="395"/>
      <c r="AI90" s="395"/>
      <c r="AJ90" s="395"/>
      <c r="AK90" s="395"/>
      <c r="AL90" s="395"/>
      <c r="AM90" s="395"/>
    </row>
    <row r="91" customFormat="false" ht="12.75" hidden="false" customHeight="false" outlineLevel="0" collapsed="false">
      <c r="A91" s="395" t="s">
        <v>311</v>
      </c>
      <c r="B91" s="395" t="n">
        <f aca="false">B77+B60+B43</f>
        <v>4000</v>
      </c>
      <c r="C91" s="395" t="n">
        <f aca="false">C77+C60+C43</f>
        <v>4000</v>
      </c>
      <c r="D91" s="395" t="n">
        <f aca="false">D77+D60+D43</f>
        <v>4000</v>
      </c>
      <c r="E91" s="395" t="n">
        <f aca="false">E77+E60+E43</f>
        <v>4000</v>
      </c>
      <c r="F91" s="395" t="n">
        <f aca="false">F77+F60+F43</f>
        <v>4000</v>
      </c>
      <c r="G91" s="395" t="n">
        <f aca="false">G77+G60+G43</f>
        <v>4000</v>
      </c>
      <c r="H91" s="395" t="n">
        <f aca="false">H77+H60+H43</f>
        <v>4000</v>
      </c>
      <c r="I91" s="395" t="n">
        <f aca="false">I77+I60+I43</f>
        <v>4000</v>
      </c>
      <c r="J91" s="395" t="n">
        <f aca="false">J77+J60+J43</f>
        <v>4000</v>
      </c>
      <c r="K91" s="395" t="n">
        <f aca="false">K77+K60+K43</f>
        <v>4000</v>
      </c>
      <c r="L91" s="395" t="n">
        <f aca="false">L77+L60+L43</f>
        <v>4000</v>
      </c>
      <c r="M91" s="395" t="n">
        <f aca="false">M77+M60+M43</f>
        <v>4000</v>
      </c>
      <c r="N91" s="395" t="n">
        <f aca="false">N77+N60+N43</f>
        <v>4000</v>
      </c>
      <c r="O91" s="395" t="n">
        <f aca="false">O77+O60+O43</f>
        <v>4000</v>
      </c>
      <c r="P91" s="395" t="n">
        <f aca="false">P77+P60+P43</f>
        <v>4000</v>
      </c>
      <c r="Q91" s="395" t="n">
        <f aca="false">Q77+Q60+Q43</f>
        <v>4000</v>
      </c>
      <c r="R91" s="395" t="n">
        <f aca="false">R77+R60+R43</f>
        <v>4000</v>
      </c>
      <c r="S91" s="395" t="n">
        <f aca="false">S77+S60+S43</f>
        <v>4000</v>
      </c>
      <c r="T91" s="395" t="n">
        <f aca="false">T77+T60+T43</f>
        <v>4000</v>
      </c>
      <c r="U91" s="395" t="n">
        <f aca="false">U77+U60+U43</f>
        <v>4000</v>
      </c>
      <c r="V91" s="395" t="n">
        <f aca="false">V77+V60+V43</f>
        <v>0</v>
      </c>
      <c r="W91" s="395" t="n">
        <f aca="false">W77+W60+W43</f>
        <v>0</v>
      </c>
      <c r="X91" s="0"/>
      <c r="Y91" s="0"/>
      <c r="Z91" s="0"/>
      <c r="AA91" s="0"/>
      <c r="AB91" s="397"/>
      <c r="AC91" s="395"/>
      <c r="AD91" s="395"/>
      <c r="AE91" s="395"/>
      <c r="AF91" s="395"/>
      <c r="AG91" s="395"/>
      <c r="AH91" s="395"/>
      <c r="AI91" s="395"/>
      <c r="AJ91" s="395"/>
      <c r="AK91" s="395"/>
      <c r="AL91" s="395"/>
      <c r="AM91" s="395"/>
    </row>
    <row r="92" customFormat="false" ht="12.75" hidden="false" customHeight="false" outlineLevel="0" collapsed="false">
      <c r="A92" s="401"/>
      <c r="B92" s="401"/>
      <c r="C92" s="401"/>
      <c r="D92" s="401"/>
      <c r="E92" s="401"/>
      <c r="F92" s="0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0"/>
      <c r="Y92" s="0"/>
      <c r="Z92" s="0"/>
      <c r="AA92" s="0"/>
      <c r="AB92" s="403"/>
      <c r="AC92" s="401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</row>
    <row r="93" customFormat="false" ht="12.75" hidden="false" customHeight="false" outlineLevel="0" collapsed="false">
      <c r="A93" s="406" t="s">
        <v>319</v>
      </c>
      <c r="B93" s="407" t="n">
        <f aca="false">IF(B87&gt;0,B80/B87," ")</f>
        <v>0.749532889407407</v>
      </c>
      <c r="C93" s="407" t="n">
        <f aca="false">IF(C87&gt;0,C80/C87," ")</f>
        <v>0.984429990903917</v>
      </c>
      <c r="D93" s="407" t="n">
        <f aca="false">IF(D87&gt;0,D80/D87," ")</f>
        <v>1.01963828494865</v>
      </c>
      <c r="E93" s="407" t="n">
        <f aca="false">IF(E87&gt;0,E80/E87," ")</f>
        <v>2.26771379808124</v>
      </c>
      <c r="F93" s="407" t="n">
        <f aca="false">IF(F87&gt;0,F80/F87," ")</f>
        <v>3.68338343119887</v>
      </c>
      <c r="G93" s="407" t="n">
        <f aca="false">IF(G87&gt;0,G80/G87," ")</f>
        <v>3.87250112711393</v>
      </c>
      <c r="H93" s="407" t="n">
        <f aca="false">IF(H87&gt;0,H80/H87," ")</f>
        <v>4.07558269559074</v>
      </c>
      <c r="I93" s="407" t="n">
        <f aca="false">IF(I87&gt;0,I80/I87," ")</f>
        <v>4.29488149288516</v>
      </c>
      <c r="J93" s="407" t="n">
        <f aca="false">IF(J87&gt;0,J80/J87," ")</f>
        <v>4.6135720302597</v>
      </c>
      <c r="K93" s="407" t="n">
        <f aca="false">IF(K87&gt;0,K80/K87," ")</f>
        <v>4.87597266319671</v>
      </c>
      <c r="L93" s="407" t="n">
        <f aca="false">IF(L87&gt;0,L80/L87," ")</f>
        <v>5.25664465122135</v>
      </c>
      <c r="M93" s="407" t="n">
        <f aca="false">IF(M87&gt;0,M80/M87," ")</f>
        <v>5.46030614841744</v>
      </c>
      <c r="N93" s="407" t="n">
        <f aca="false">IF(N87&gt;0,N80/N87," ")</f>
        <v>5.92397785020553</v>
      </c>
      <c r="O93" s="407" t="n">
        <f aca="false">IF(O87&gt;0,O80/O87," ")</f>
        <v>6.32440925550473</v>
      </c>
      <c r="P93" s="407" t="n">
        <f aca="false">IF(P87&gt;0,P80/P87," ")</f>
        <v>6.76718777946167</v>
      </c>
      <c r="Q93" s="407" t="n">
        <f aca="false">IF(Q87&gt;0,Q80/Q87," ")</f>
        <v>7.25938020950593</v>
      </c>
      <c r="R93" s="407" t="n">
        <f aca="false">IF(R87&gt;0,R80/R87," ")</f>
        <v>7.81596510475819</v>
      </c>
      <c r="S93" s="407" t="n">
        <f aca="false">IF(S87&gt;0,S80/S87," ")</f>
        <v>8.44553915789587</v>
      </c>
      <c r="T93" s="407" t="n">
        <f aca="false">IF(T87&gt;0,T80/T87," ")</f>
        <v>9.15861006168141</v>
      </c>
      <c r="U93" s="407" t="n">
        <f aca="false">IF(U87&gt;0,U80/U87," ")</f>
        <v>9.94848477170941</v>
      </c>
      <c r="V93" s="407" t="str">
        <f aca="false">IF(V87&gt;1,V80/V87," ")</f>
        <v> </v>
      </c>
      <c r="W93" s="408" t="str">
        <f aca="false">IF(W87&gt;1,W80/W87," ")</f>
        <v> </v>
      </c>
      <c r="X93" s="0"/>
      <c r="Y93" s="0"/>
      <c r="Z93" s="0"/>
      <c r="AA93" s="0"/>
      <c r="AB93" s="409"/>
      <c r="AC93" s="377"/>
      <c r="AD93" s="377"/>
      <c r="AE93" s="377"/>
      <c r="AF93" s="377"/>
      <c r="AG93" s="377"/>
      <c r="AH93" s="377"/>
      <c r="AI93" s="377"/>
      <c r="AJ93" s="377"/>
      <c r="AK93" s="377"/>
      <c r="AL93" s="377"/>
      <c r="AM93" s="377"/>
    </row>
    <row r="94" customFormat="false" ht="12.75" hidden="false" customHeight="false" outlineLevel="0" collapsed="false">
      <c r="A94" s="410"/>
      <c r="B94" s="411"/>
      <c r="C94" s="411"/>
      <c r="D94" s="411"/>
      <c r="E94" s="411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0"/>
      <c r="X94" s="0"/>
      <c r="Y94" s="0"/>
      <c r="Z94" s="0"/>
      <c r="AA94" s="0"/>
      <c r="AB94" s="409"/>
      <c r="AC94" s="377"/>
      <c r="AD94" s="377"/>
      <c r="AE94" s="377"/>
      <c r="AF94" s="377"/>
      <c r="AG94" s="377"/>
      <c r="AH94" s="377"/>
      <c r="AI94" s="377"/>
      <c r="AJ94" s="377"/>
      <c r="AK94" s="377"/>
      <c r="AL94" s="377"/>
      <c r="AM94" s="377"/>
    </row>
    <row r="95" customFormat="false" ht="12.75" hidden="false" customHeight="false" outlineLevel="0" collapsed="false">
      <c r="A95" s="410"/>
      <c r="B95" s="412"/>
      <c r="C95" s="412"/>
      <c r="D95" s="412"/>
      <c r="E95" s="412"/>
      <c r="F95" s="412"/>
      <c r="G95" s="412"/>
      <c r="H95" s="412"/>
      <c r="I95" s="412"/>
      <c r="J95" s="412"/>
      <c r="K95" s="412"/>
      <c r="L95" s="412"/>
      <c r="M95" s="412"/>
      <c r="N95" s="412"/>
      <c r="O95" s="412"/>
      <c r="P95" s="412"/>
      <c r="Q95" s="412"/>
      <c r="R95" s="412"/>
      <c r="S95" s="412"/>
      <c r="T95" s="412"/>
      <c r="U95" s="412"/>
      <c r="V95" s="412"/>
      <c r="W95" s="0"/>
      <c r="X95" s="0"/>
      <c r="Y95" s="0"/>
      <c r="Z95" s="0"/>
      <c r="AA95" s="0"/>
      <c r="AB95" s="409"/>
      <c r="AC95" s="377"/>
      <c r="AD95" s="377"/>
      <c r="AE95" s="377"/>
      <c r="AF95" s="377"/>
      <c r="AG95" s="377"/>
      <c r="AH95" s="377"/>
      <c r="AI95" s="377"/>
      <c r="AJ95" s="377"/>
      <c r="AK95" s="377"/>
      <c r="AL95" s="377"/>
      <c r="AM95" s="377"/>
    </row>
    <row r="96" customFormat="false" ht="12.75" hidden="false" customHeight="false" outlineLevel="0" collapsed="false">
      <c r="A96" s="351" t="s">
        <v>320</v>
      </c>
      <c r="B96" s="413" t="n">
        <f aca="false">AVERAGE(B93:W93)</f>
        <v>5.13988566969739</v>
      </c>
      <c r="C96" s="0"/>
      <c r="F96" s="377"/>
      <c r="G96" s="0"/>
      <c r="H96" s="0"/>
      <c r="I96" s="0"/>
      <c r="J96" s="0"/>
      <c r="K96" s="377"/>
      <c r="L96" s="377"/>
      <c r="M96" s="414"/>
      <c r="N96" s="377"/>
      <c r="O96" s="377"/>
      <c r="P96" s="415"/>
      <c r="Q96" s="415"/>
      <c r="R96" s="415"/>
      <c r="S96" s="377"/>
      <c r="T96" s="377"/>
      <c r="U96" s="377"/>
      <c r="V96" s="377"/>
      <c r="W96" s="0"/>
      <c r="X96" s="0"/>
      <c r="Y96" s="0"/>
      <c r="Z96" s="0"/>
      <c r="AA96" s="0"/>
      <c r="AB96" s="409"/>
      <c r="AC96" s="377"/>
      <c r="AD96" s="377"/>
      <c r="AE96" s="377"/>
      <c r="AF96" s="377"/>
      <c r="AG96" s="377"/>
      <c r="AH96" s="377"/>
      <c r="AI96" s="377"/>
      <c r="AJ96" s="377"/>
      <c r="AK96" s="377"/>
      <c r="AL96" s="377"/>
      <c r="AM96" s="377"/>
    </row>
    <row r="97" customFormat="false" ht="12.75" hidden="false" customHeight="false" outlineLevel="0" collapsed="false">
      <c r="A97" s="356" t="s">
        <v>321</v>
      </c>
      <c r="B97" s="416" t="n">
        <f aca="false">MIN(B93:W93)</f>
        <v>0.749532889407407</v>
      </c>
      <c r="C97" s="0"/>
      <c r="F97" s="410"/>
      <c r="G97" s="0"/>
      <c r="H97" s="0"/>
      <c r="I97" s="0"/>
      <c r="J97" s="0"/>
      <c r="K97" s="410"/>
      <c r="L97" s="410"/>
      <c r="M97" s="410"/>
      <c r="N97" s="410"/>
      <c r="O97" s="410"/>
      <c r="P97" s="415"/>
      <c r="Q97" s="415"/>
      <c r="R97" s="415"/>
      <c r="S97" s="377"/>
      <c r="T97" s="377"/>
      <c r="U97" s="377"/>
      <c r="V97" s="377"/>
      <c r="W97" s="0"/>
      <c r="X97" s="0"/>
      <c r="Y97" s="0"/>
      <c r="Z97" s="0"/>
      <c r="AA97" s="0"/>
      <c r="AB97" s="409"/>
      <c r="AC97" s="377"/>
      <c r="AD97" s="377"/>
      <c r="AE97" s="377"/>
      <c r="AF97" s="377"/>
      <c r="AG97" s="377"/>
      <c r="AH97" s="377"/>
      <c r="AI97" s="377"/>
      <c r="AJ97" s="377"/>
      <c r="AK97" s="377"/>
      <c r="AL97" s="377"/>
      <c r="AM97" s="377"/>
    </row>
    <row r="100" customFormat="false" ht="13.5" hidden="false" customHeight="fals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2" customFormat="false" ht="12.75" hidden="false" customHeight="false" outlineLevel="0" collapsed="false">
      <c r="A102" s="323" t="s">
        <v>322</v>
      </c>
      <c r="B102" s="417" t="n">
        <v>2</v>
      </c>
    </row>
    <row r="103" customFormat="false" ht="12.75" hidden="false" customHeight="false" outlineLevel="0" collapsed="false">
      <c r="A103" s="418" t="s">
        <v>181</v>
      </c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</row>
    <row r="104" customFormat="false" ht="12.75" hidden="false" customHeight="false" outlineLevel="0" collapsed="false">
      <c r="A104" s="419" t="s">
        <v>238</v>
      </c>
      <c r="B104" s="420" t="n">
        <v>0.03</v>
      </c>
      <c r="C104" s="420" t="n">
        <v>0.03</v>
      </c>
      <c r="D104" s="420" t="n">
        <v>0.03</v>
      </c>
      <c r="E104" s="420" t="n">
        <v>0.03</v>
      </c>
      <c r="F104" s="420" t="n">
        <v>0.03</v>
      </c>
      <c r="G104" s="420" t="n">
        <v>0.03</v>
      </c>
      <c r="H104" s="420" t="n">
        <v>0.03</v>
      </c>
      <c r="I104" s="420" t="n">
        <v>0.03</v>
      </c>
      <c r="J104" s="420" t="n">
        <v>0.03</v>
      </c>
      <c r="K104" s="420" t="n">
        <v>0.03</v>
      </c>
      <c r="L104" s="420" t="n">
        <v>0.03</v>
      </c>
      <c r="M104" s="420" t="n">
        <v>0.03</v>
      </c>
      <c r="N104" s="420" t="n">
        <v>0.03</v>
      </c>
      <c r="O104" s="420" t="n">
        <v>0.03</v>
      </c>
      <c r="P104" s="420" t="n">
        <v>0.03</v>
      </c>
      <c r="Q104" s="420" t="n">
        <v>0.03</v>
      </c>
      <c r="R104" s="420" t="n">
        <v>0.03</v>
      </c>
      <c r="S104" s="420" t="n">
        <v>0.03</v>
      </c>
      <c r="T104" s="420" t="n">
        <v>0.03</v>
      </c>
      <c r="U104" s="420" t="n">
        <v>0.03</v>
      </c>
      <c r="V104" s="420" t="n">
        <v>0.03</v>
      </c>
      <c r="W104" s="420" t="n">
        <f aca="false">1-SUM(B104:V104)</f>
        <v>0.37</v>
      </c>
      <c r="X104" s="138"/>
      <c r="Y104" s="138"/>
      <c r="AA104" s="1"/>
      <c r="AB104" s="1"/>
    </row>
    <row r="105" customFormat="false" ht="12.75" hidden="false" customHeight="false" outlineLevel="0" collapsed="false">
      <c r="A105" s="419" t="s">
        <v>323</v>
      </c>
      <c r="B105" s="420" t="n">
        <f aca="false">100%/20</f>
        <v>0.05</v>
      </c>
      <c r="C105" s="420" t="n">
        <f aca="false">100%/20</f>
        <v>0.05</v>
      </c>
      <c r="D105" s="420" t="n">
        <f aca="false">100%/20</f>
        <v>0.05</v>
      </c>
      <c r="E105" s="420" t="n">
        <f aca="false">100%/20</f>
        <v>0.05</v>
      </c>
      <c r="F105" s="420" t="n">
        <f aca="false">100%/20</f>
        <v>0.05</v>
      </c>
      <c r="G105" s="420" t="n">
        <f aca="false">100%/20</f>
        <v>0.05</v>
      </c>
      <c r="H105" s="420" t="n">
        <f aca="false">100%/20</f>
        <v>0.05</v>
      </c>
      <c r="I105" s="420" t="n">
        <f aca="false">100%/20</f>
        <v>0.05</v>
      </c>
      <c r="J105" s="420" t="n">
        <f aca="false">100%/20</f>
        <v>0.05</v>
      </c>
      <c r="K105" s="420" t="n">
        <f aca="false">100%/20</f>
        <v>0.05</v>
      </c>
      <c r="L105" s="420" t="n">
        <f aca="false">100%/20</f>
        <v>0.05</v>
      </c>
      <c r="M105" s="420" t="n">
        <f aca="false">100%/20</f>
        <v>0.05</v>
      </c>
      <c r="N105" s="420" t="n">
        <f aca="false">100%/20</f>
        <v>0.05</v>
      </c>
      <c r="O105" s="420" t="n">
        <f aca="false">100%/20</f>
        <v>0.05</v>
      </c>
      <c r="P105" s="420" t="n">
        <f aca="false">100%/20</f>
        <v>0.05</v>
      </c>
      <c r="Q105" s="421" t="n">
        <f aca="false">100%/20</f>
        <v>0.05</v>
      </c>
      <c r="R105" s="421" t="n">
        <f aca="false">100%/20</f>
        <v>0.05</v>
      </c>
      <c r="S105" s="421" t="n">
        <f aca="false">100%/20</f>
        <v>0.05</v>
      </c>
      <c r="T105" s="421" t="n">
        <f aca="false">100%/20</f>
        <v>0.05</v>
      </c>
      <c r="U105" s="421" t="n">
        <f aca="false">100%/20</f>
        <v>0.05</v>
      </c>
      <c r="V105" s="421" t="n">
        <v>0</v>
      </c>
      <c r="W105" s="421" t="n">
        <v>0</v>
      </c>
      <c r="X105" s="138"/>
      <c r="Y105" s="138"/>
      <c r="AA105" s="1"/>
      <c r="AB105" s="1"/>
    </row>
    <row r="106" customFormat="false" ht="12.75" hidden="false" customHeight="false" outlineLevel="0" collapsed="false">
      <c r="A106" s="419" t="s">
        <v>324</v>
      </c>
      <c r="B106" s="422" t="n">
        <f aca="false">CHOOSE($B$102,B104,B105)</f>
        <v>0.05</v>
      </c>
      <c r="C106" s="422" t="n">
        <f aca="false">CHOOSE($B$102,C104,C105)</f>
        <v>0.05</v>
      </c>
      <c r="D106" s="422" t="n">
        <f aca="false">CHOOSE($B$102,D104,D105)</f>
        <v>0.05</v>
      </c>
      <c r="E106" s="422" t="n">
        <f aca="false">CHOOSE($B$102,E104,E105)</f>
        <v>0.05</v>
      </c>
      <c r="F106" s="422" t="n">
        <f aca="false">CHOOSE($B$102,F104,F105)</f>
        <v>0.05</v>
      </c>
      <c r="G106" s="422" t="n">
        <f aca="false">CHOOSE($B$102,G104,G105)</f>
        <v>0.05</v>
      </c>
      <c r="H106" s="422" t="n">
        <f aca="false">CHOOSE($B$102,H104,H105)</f>
        <v>0.05</v>
      </c>
      <c r="I106" s="422" t="n">
        <f aca="false">CHOOSE($B$102,I104,I105)</f>
        <v>0.05</v>
      </c>
      <c r="J106" s="422" t="n">
        <f aca="false">CHOOSE($B$102,J104,J105)</f>
        <v>0.05</v>
      </c>
      <c r="K106" s="422" t="n">
        <f aca="false">CHOOSE($B$102,K104,K105)</f>
        <v>0.05</v>
      </c>
      <c r="L106" s="422" t="n">
        <f aca="false">CHOOSE($B$102,L104,L105)</f>
        <v>0.05</v>
      </c>
      <c r="M106" s="422" t="n">
        <f aca="false">CHOOSE($B$102,M104,M105)</f>
        <v>0.05</v>
      </c>
      <c r="N106" s="422" t="n">
        <f aca="false">CHOOSE($B$102,N104,N105)</f>
        <v>0.05</v>
      </c>
      <c r="O106" s="422" t="n">
        <f aca="false">CHOOSE($B$102,O104,O105)</f>
        <v>0.05</v>
      </c>
      <c r="P106" s="422" t="n">
        <f aca="false">CHOOSE($B$102,P104,P105)</f>
        <v>0.05</v>
      </c>
      <c r="Q106" s="422" t="n">
        <f aca="false">CHOOSE($B$102,Q104,Q105)</f>
        <v>0.05</v>
      </c>
      <c r="R106" s="422" t="n">
        <f aca="false">CHOOSE($B$102,R104,R105)</f>
        <v>0.05</v>
      </c>
      <c r="S106" s="422" t="n">
        <f aca="false">CHOOSE($B$102,S104,S105)</f>
        <v>0.05</v>
      </c>
      <c r="T106" s="422" t="n">
        <f aca="false">CHOOSE($B$102,T104,T105)</f>
        <v>0.05</v>
      </c>
      <c r="U106" s="422" t="n">
        <f aca="false">CHOOSE($B$102,U104,U105)</f>
        <v>0.05</v>
      </c>
      <c r="V106" s="422" t="n">
        <f aca="false">CHOOSE($B$102,V104,V105)</f>
        <v>0</v>
      </c>
      <c r="W106" s="422" t="n">
        <f aca="false">CHOOSE($B$102,W104,W105)</f>
        <v>0</v>
      </c>
      <c r="X106" s="138"/>
      <c r="Y106" s="138"/>
      <c r="AA106" s="1"/>
      <c r="AB106" s="1"/>
    </row>
    <row r="107" customFormat="false" ht="12.75" hidden="false" customHeight="false" outlineLevel="0" collapsed="false"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274"/>
      <c r="Y107" s="274"/>
      <c r="AA107" s="1"/>
      <c r="AB107" s="1"/>
    </row>
    <row r="108" customFormat="false" ht="12.75" hidden="false" customHeight="false" outlineLevel="0" collapsed="false">
      <c r="A108" s="418" t="s">
        <v>182</v>
      </c>
      <c r="B108" s="423"/>
      <c r="C108" s="423"/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138"/>
      <c r="Y108" s="138"/>
      <c r="AA108" s="1"/>
      <c r="AB108" s="1"/>
    </row>
    <row r="109" customFormat="false" ht="12.75" hidden="false" customHeight="false" outlineLevel="0" collapsed="false">
      <c r="A109" s="419" t="s">
        <v>238</v>
      </c>
      <c r="B109" s="420" t="n">
        <v>0.03</v>
      </c>
      <c r="C109" s="420" t="n">
        <v>0.03</v>
      </c>
      <c r="D109" s="420" t="n">
        <v>0.03</v>
      </c>
      <c r="E109" s="420" t="n">
        <v>0.03</v>
      </c>
      <c r="F109" s="420" t="n">
        <v>0.03</v>
      </c>
      <c r="G109" s="420" t="n">
        <v>0.03</v>
      </c>
      <c r="H109" s="420" t="n">
        <v>0.03</v>
      </c>
      <c r="I109" s="420" t="n">
        <v>0.03</v>
      </c>
      <c r="J109" s="420" t="n">
        <v>0.03</v>
      </c>
      <c r="K109" s="420" t="n">
        <v>0.03</v>
      </c>
      <c r="L109" s="420" t="n">
        <v>0.03</v>
      </c>
      <c r="M109" s="420" t="n">
        <v>0.03</v>
      </c>
      <c r="N109" s="420" t="n">
        <v>0.03</v>
      </c>
      <c r="O109" s="420" t="n">
        <v>0.03</v>
      </c>
      <c r="P109" s="420" t="n">
        <v>0.03</v>
      </c>
      <c r="Q109" s="420" t="n">
        <v>0.03</v>
      </c>
      <c r="R109" s="420" t="n">
        <v>0.03</v>
      </c>
      <c r="S109" s="420" t="n">
        <v>0.03</v>
      </c>
      <c r="T109" s="420" t="n">
        <v>0.03</v>
      </c>
      <c r="U109" s="420" t="n">
        <v>0.03</v>
      </c>
      <c r="V109" s="420" t="n">
        <v>0.03</v>
      </c>
      <c r="W109" s="420" t="n">
        <f aca="false">1-SUM(B109:V109)</f>
        <v>0.37</v>
      </c>
      <c r="X109" s="138"/>
      <c r="Y109" s="138"/>
      <c r="AA109" s="1"/>
      <c r="AB109" s="1"/>
    </row>
    <row r="110" customFormat="false" ht="12.75" hidden="false" customHeight="false" outlineLevel="0" collapsed="false">
      <c r="A110" s="419" t="s">
        <v>323</v>
      </c>
      <c r="B110" s="420" t="n">
        <f aca="false">100%/20</f>
        <v>0.05</v>
      </c>
      <c r="C110" s="420" t="n">
        <f aca="false">100%/20</f>
        <v>0.05</v>
      </c>
      <c r="D110" s="420" t="n">
        <f aca="false">100%/20</f>
        <v>0.05</v>
      </c>
      <c r="E110" s="420" t="n">
        <f aca="false">100%/20</f>
        <v>0.05</v>
      </c>
      <c r="F110" s="420" t="n">
        <f aca="false">100%/20</f>
        <v>0.05</v>
      </c>
      <c r="G110" s="420" t="n">
        <f aca="false">100%/20</f>
        <v>0.05</v>
      </c>
      <c r="H110" s="420" t="n">
        <f aca="false">100%/20</f>
        <v>0.05</v>
      </c>
      <c r="I110" s="420" t="n">
        <f aca="false">100%/20</f>
        <v>0.05</v>
      </c>
      <c r="J110" s="420" t="n">
        <f aca="false">100%/20</f>
        <v>0.05</v>
      </c>
      <c r="K110" s="420" t="n">
        <f aca="false">100%/20</f>
        <v>0.05</v>
      </c>
      <c r="L110" s="420" t="n">
        <f aca="false">100%/20</f>
        <v>0.05</v>
      </c>
      <c r="M110" s="420" t="n">
        <f aca="false">100%/20</f>
        <v>0.05</v>
      </c>
      <c r="N110" s="420" t="n">
        <f aca="false">100%/20</f>
        <v>0.05</v>
      </c>
      <c r="O110" s="420" t="n">
        <f aca="false">100%/20</f>
        <v>0.05</v>
      </c>
      <c r="P110" s="420" t="n">
        <f aca="false">100%/20</f>
        <v>0.05</v>
      </c>
      <c r="Q110" s="421" t="n">
        <f aca="false">100%/20</f>
        <v>0.05</v>
      </c>
      <c r="R110" s="421" t="n">
        <f aca="false">100%/20</f>
        <v>0.05</v>
      </c>
      <c r="S110" s="421" t="n">
        <f aca="false">100%/20</f>
        <v>0.05</v>
      </c>
      <c r="T110" s="421" t="n">
        <f aca="false">100%/20</f>
        <v>0.05</v>
      </c>
      <c r="U110" s="421" t="n">
        <f aca="false">100%/20</f>
        <v>0.05</v>
      </c>
      <c r="V110" s="421" t="n">
        <v>0</v>
      </c>
      <c r="W110" s="421" t="n">
        <v>0</v>
      </c>
      <c r="X110" s="138"/>
      <c r="Y110" s="138"/>
      <c r="AA110" s="1"/>
      <c r="AB110" s="1"/>
    </row>
    <row r="111" customFormat="false" ht="12.75" hidden="false" customHeight="false" outlineLevel="0" collapsed="false">
      <c r="A111" s="419" t="s">
        <v>324</v>
      </c>
      <c r="B111" s="422" t="n">
        <f aca="false">CHOOSE($B$102,B109,B110)</f>
        <v>0.05</v>
      </c>
      <c r="C111" s="422" t="n">
        <f aca="false">CHOOSE($B$102,C109,C110)</f>
        <v>0.05</v>
      </c>
      <c r="D111" s="422" t="n">
        <f aca="false">CHOOSE($B$102,D109,D110)</f>
        <v>0.05</v>
      </c>
      <c r="E111" s="422" t="n">
        <f aca="false">CHOOSE($B$102,E109,E110)</f>
        <v>0.05</v>
      </c>
      <c r="F111" s="422" t="n">
        <f aca="false">CHOOSE($B$102,F109,F110)</f>
        <v>0.05</v>
      </c>
      <c r="G111" s="422" t="n">
        <f aca="false">CHOOSE($B$102,G109,G110)</f>
        <v>0.05</v>
      </c>
      <c r="H111" s="422" t="n">
        <f aca="false">CHOOSE($B$102,H109,H110)</f>
        <v>0.05</v>
      </c>
      <c r="I111" s="422" t="n">
        <f aca="false">CHOOSE($B$102,I109,I110)</f>
        <v>0.05</v>
      </c>
      <c r="J111" s="422" t="n">
        <f aca="false">CHOOSE($B$102,J109,J110)</f>
        <v>0.05</v>
      </c>
      <c r="K111" s="422" t="n">
        <f aca="false">CHOOSE($B$102,K109,K110)</f>
        <v>0.05</v>
      </c>
      <c r="L111" s="422" t="n">
        <f aca="false">CHOOSE($B$102,L109,L110)</f>
        <v>0.05</v>
      </c>
      <c r="M111" s="422" t="n">
        <f aca="false">CHOOSE($B$102,M109,M110)</f>
        <v>0.05</v>
      </c>
      <c r="N111" s="422" t="n">
        <f aca="false">CHOOSE($B$102,N109,N110)</f>
        <v>0.05</v>
      </c>
      <c r="O111" s="422" t="n">
        <f aca="false">CHOOSE($B$102,O109,O110)</f>
        <v>0.05</v>
      </c>
      <c r="P111" s="422" t="n">
        <f aca="false">CHOOSE($B$102,P109,P110)</f>
        <v>0.05</v>
      </c>
      <c r="Q111" s="422" t="n">
        <f aca="false">CHOOSE($B$102,Q109,Q110)</f>
        <v>0.05</v>
      </c>
      <c r="R111" s="422" t="n">
        <f aca="false">CHOOSE($B$102,R109,R110)</f>
        <v>0.05</v>
      </c>
      <c r="S111" s="422" t="n">
        <f aca="false">CHOOSE($B$102,S109,S110)</f>
        <v>0.05</v>
      </c>
      <c r="T111" s="422" t="n">
        <f aca="false">CHOOSE($B$102,T109,T110)</f>
        <v>0.05</v>
      </c>
      <c r="U111" s="422" t="n">
        <f aca="false">CHOOSE($B$102,U109,U110)</f>
        <v>0.05</v>
      </c>
      <c r="V111" s="422" t="n">
        <f aca="false">CHOOSE($B$102,V109,V110)</f>
        <v>0</v>
      </c>
      <c r="W111" s="422" t="n">
        <f aca="false">CHOOSE($B$102,W109,W110)</f>
        <v>0</v>
      </c>
      <c r="X111" s="138"/>
      <c r="Y111" s="138"/>
      <c r="AA111" s="1"/>
      <c r="AB111" s="1"/>
    </row>
    <row r="112" customFormat="false" ht="12.75" hidden="false" customHeight="false" outlineLevel="0" collapsed="false"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  <c r="W112" s="387"/>
      <c r="X112" s="274"/>
      <c r="Y112" s="274"/>
      <c r="AA112" s="1"/>
      <c r="AB112" s="1"/>
    </row>
    <row r="113" customFormat="false" ht="12.75" hidden="false" customHeight="false" outlineLevel="0" collapsed="false">
      <c r="A113" s="418" t="s">
        <v>183</v>
      </c>
      <c r="B113" s="423"/>
      <c r="C113" s="423"/>
      <c r="D113" s="423"/>
      <c r="E113" s="423"/>
      <c r="F113" s="423"/>
      <c r="G113" s="423"/>
      <c r="H113" s="423"/>
      <c r="I113" s="423"/>
      <c r="J113" s="423"/>
      <c r="K113" s="423"/>
      <c r="L113" s="423"/>
      <c r="M113" s="423"/>
      <c r="N113" s="423"/>
      <c r="O113" s="423"/>
      <c r="P113" s="423"/>
      <c r="Q113" s="423"/>
      <c r="R113" s="423"/>
      <c r="S113" s="423"/>
      <c r="T113" s="423"/>
      <c r="U113" s="423"/>
      <c r="V113" s="423"/>
      <c r="W113" s="423"/>
      <c r="X113" s="138"/>
      <c r="Y113" s="138"/>
      <c r="AA113" s="1"/>
      <c r="AB113" s="1"/>
    </row>
    <row r="114" customFormat="false" ht="12.75" hidden="false" customHeight="false" outlineLevel="0" collapsed="false">
      <c r="A114" s="419" t="s">
        <v>238</v>
      </c>
      <c r="B114" s="420" t="n">
        <v>0.03</v>
      </c>
      <c r="C114" s="420" t="n">
        <v>0.03</v>
      </c>
      <c r="D114" s="420" t="n">
        <v>0.03</v>
      </c>
      <c r="E114" s="420" t="n">
        <v>0.03</v>
      </c>
      <c r="F114" s="420" t="n">
        <v>0.03</v>
      </c>
      <c r="G114" s="420" t="n">
        <v>0.03</v>
      </c>
      <c r="H114" s="420" t="n">
        <v>0.03</v>
      </c>
      <c r="I114" s="420" t="n">
        <v>0.03</v>
      </c>
      <c r="J114" s="420" t="n">
        <v>0.03</v>
      </c>
      <c r="K114" s="420" t="n">
        <v>0.03</v>
      </c>
      <c r="L114" s="420" t="n">
        <v>0.03</v>
      </c>
      <c r="M114" s="420" t="n">
        <v>0.03</v>
      </c>
      <c r="N114" s="420" t="n">
        <v>0.03</v>
      </c>
      <c r="O114" s="420" t="n">
        <v>0.03</v>
      </c>
      <c r="P114" s="420" t="n">
        <v>0.03</v>
      </c>
      <c r="Q114" s="420" t="n">
        <v>0.03</v>
      </c>
      <c r="R114" s="420" t="n">
        <v>0.03</v>
      </c>
      <c r="S114" s="420" t="n">
        <v>0.03</v>
      </c>
      <c r="T114" s="420" t="n">
        <v>0.03</v>
      </c>
      <c r="U114" s="420" t="n">
        <v>0.03</v>
      </c>
      <c r="V114" s="420" t="n">
        <v>0.03</v>
      </c>
      <c r="W114" s="420" t="n">
        <f aca="false">1-SUM(B114:V114)</f>
        <v>0.37</v>
      </c>
      <c r="X114" s="138"/>
      <c r="Y114" s="138"/>
      <c r="AA114" s="1"/>
      <c r="AB114" s="1"/>
    </row>
    <row r="115" customFormat="false" ht="12.75" hidden="false" customHeight="false" outlineLevel="0" collapsed="false">
      <c r="A115" s="419" t="s">
        <v>323</v>
      </c>
      <c r="B115" s="420" t="n">
        <f aca="false">100%/20</f>
        <v>0.05</v>
      </c>
      <c r="C115" s="420" t="n">
        <f aca="false">100%/20</f>
        <v>0.05</v>
      </c>
      <c r="D115" s="420" t="n">
        <f aca="false">100%/20</f>
        <v>0.05</v>
      </c>
      <c r="E115" s="420" t="n">
        <f aca="false">100%/20</f>
        <v>0.05</v>
      </c>
      <c r="F115" s="420" t="n">
        <f aca="false">100%/20</f>
        <v>0.05</v>
      </c>
      <c r="G115" s="420" t="n">
        <f aca="false">100%/20</f>
        <v>0.05</v>
      </c>
      <c r="H115" s="420" t="n">
        <f aca="false">100%/20</f>
        <v>0.05</v>
      </c>
      <c r="I115" s="420" t="n">
        <f aca="false">100%/20</f>
        <v>0.05</v>
      </c>
      <c r="J115" s="420" t="n">
        <f aca="false">100%/20</f>
        <v>0.05</v>
      </c>
      <c r="K115" s="420" t="n">
        <f aca="false">100%/20</f>
        <v>0.05</v>
      </c>
      <c r="L115" s="420" t="n">
        <f aca="false">100%/20</f>
        <v>0.05</v>
      </c>
      <c r="M115" s="420" t="n">
        <f aca="false">100%/20</f>
        <v>0.05</v>
      </c>
      <c r="N115" s="420" t="n">
        <f aca="false">100%/20</f>
        <v>0.05</v>
      </c>
      <c r="O115" s="420" t="n">
        <f aca="false">100%/20</f>
        <v>0.05</v>
      </c>
      <c r="P115" s="420" t="n">
        <f aca="false">100%/20</f>
        <v>0.05</v>
      </c>
      <c r="Q115" s="421" t="n">
        <f aca="false">100%/20</f>
        <v>0.05</v>
      </c>
      <c r="R115" s="421" t="n">
        <f aca="false">100%/20</f>
        <v>0.05</v>
      </c>
      <c r="S115" s="421" t="n">
        <f aca="false">100%/20</f>
        <v>0.05</v>
      </c>
      <c r="T115" s="421" t="n">
        <f aca="false">100%/20</f>
        <v>0.05</v>
      </c>
      <c r="U115" s="421" t="n">
        <f aca="false">100%/20</f>
        <v>0.05</v>
      </c>
      <c r="V115" s="421" t="n">
        <v>0</v>
      </c>
      <c r="W115" s="421" t="n">
        <v>0</v>
      </c>
      <c r="X115" s="138"/>
      <c r="Y115" s="138"/>
      <c r="AA115" s="1"/>
      <c r="AB115" s="1"/>
    </row>
    <row r="116" customFormat="false" ht="12.75" hidden="false" customHeight="false" outlineLevel="0" collapsed="false">
      <c r="A116" s="419" t="s">
        <v>324</v>
      </c>
      <c r="B116" s="422" t="n">
        <f aca="false">CHOOSE($B$102,B114,B115)</f>
        <v>0.05</v>
      </c>
      <c r="C116" s="422" t="n">
        <f aca="false">CHOOSE($B$102,C114,C115)</f>
        <v>0.05</v>
      </c>
      <c r="D116" s="422" t="n">
        <f aca="false">CHOOSE($B$102,D114,D115)</f>
        <v>0.05</v>
      </c>
      <c r="E116" s="422" t="n">
        <f aca="false">CHOOSE($B$102,E114,E115)</f>
        <v>0.05</v>
      </c>
      <c r="F116" s="422" t="n">
        <f aca="false">CHOOSE($B$102,F114,F115)</f>
        <v>0.05</v>
      </c>
      <c r="G116" s="422" t="n">
        <f aca="false">CHOOSE($B$102,G114,G115)</f>
        <v>0.05</v>
      </c>
      <c r="H116" s="422" t="n">
        <f aca="false">CHOOSE($B$102,H114,H115)</f>
        <v>0.05</v>
      </c>
      <c r="I116" s="422" t="n">
        <f aca="false">CHOOSE($B$102,I114,I115)</f>
        <v>0.05</v>
      </c>
      <c r="J116" s="422" t="n">
        <f aca="false">CHOOSE($B$102,J114,J115)</f>
        <v>0.05</v>
      </c>
      <c r="K116" s="422" t="n">
        <f aca="false">CHOOSE($B$102,K114,K115)</f>
        <v>0.05</v>
      </c>
      <c r="L116" s="422" t="n">
        <f aca="false">CHOOSE($B$102,L114,L115)</f>
        <v>0.05</v>
      </c>
      <c r="M116" s="422" t="n">
        <f aca="false">CHOOSE($B$102,M114,M115)</f>
        <v>0.05</v>
      </c>
      <c r="N116" s="422" t="n">
        <f aca="false">CHOOSE($B$102,N114,N115)</f>
        <v>0.05</v>
      </c>
      <c r="O116" s="422" t="n">
        <f aca="false">CHOOSE($B$102,O114,O115)</f>
        <v>0.05</v>
      </c>
      <c r="P116" s="422" t="n">
        <f aca="false">CHOOSE($B$102,P114,P115)</f>
        <v>0.05</v>
      </c>
      <c r="Q116" s="422" t="n">
        <f aca="false">CHOOSE($B$102,Q114,Q115)</f>
        <v>0.05</v>
      </c>
      <c r="R116" s="422" t="n">
        <f aca="false">CHOOSE($B$102,R114,R115)</f>
        <v>0.05</v>
      </c>
      <c r="S116" s="422" t="n">
        <f aca="false">CHOOSE($B$102,S114,S115)</f>
        <v>0.05</v>
      </c>
      <c r="T116" s="422" t="n">
        <f aca="false">CHOOSE($B$102,T114,T115)</f>
        <v>0.05</v>
      </c>
      <c r="U116" s="422" t="n">
        <f aca="false">CHOOSE($B$102,U114,U115)</f>
        <v>0.05</v>
      </c>
      <c r="V116" s="422" t="n">
        <f aca="false">CHOOSE($B$102,V114,V115)</f>
        <v>0</v>
      </c>
      <c r="W116" s="422" t="n">
        <f aca="false">CHOOSE($B$102,W114,W115)</f>
        <v>0</v>
      </c>
      <c r="X116" s="138"/>
      <c r="Y116" s="138"/>
      <c r="AA116" s="1"/>
      <c r="AB116" s="1"/>
    </row>
    <row r="117" customFormat="false" ht="12.75" hidden="false" customHeight="false" outlineLevel="0" collapsed="false">
      <c r="X117" s="274"/>
      <c r="Y117" s="274"/>
      <c r="AA117" s="1"/>
      <c r="AB117" s="1"/>
    </row>
    <row r="118" customFormat="false" ht="12.75" hidden="false" customHeight="false" outlineLevel="0" collapsed="false">
      <c r="X118" s="274"/>
      <c r="Y118" s="274"/>
      <c r="AA118" s="1"/>
      <c r="AB118" s="1"/>
    </row>
    <row r="119" customFormat="false" ht="12.75" hidden="false" customHeight="false" outlineLevel="0" collapsed="false"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424"/>
      <c r="O119" s="424"/>
      <c r="P119" s="424"/>
      <c r="Q119" s="424"/>
      <c r="R119" s="424"/>
      <c r="S119" s="424"/>
      <c r="T119" s="424"/>
      <c r="U119" s="424"/>
      <c r="V119" s="424"/>
      <c r="W119" s="424"/>
      <c r="X119" s="424"/>
      <c r="Y119" s="424"/>
      <c r="Z119" s="424"/>
      <c r="AA119" s="424"/>
      <c r="AB119" s="424"/>
      <c r="AC119" s="424"/>
      <c r="AD119" s="424"/>
      <c r="AE119" s="424"/>
      <c r="AF119" s="424"/>
      <c r="AG119" s="424"/>
      <c r="AH119" s="424"/>
      <c r="AI119" s="424"/>
      <c r="AJ119" s="424"/>
      <c r="AK119" s="424"/>
      <c r="AL119" s="424"/>
      <c r="AM119" s="424"/>
      <c r="AN119" s="424"/>
      <c r="AO119" s="424"/>
      <c r="AP119" s="424"/>
      <c r="AQ119" s="424"/>
      <c r="AR119" s="424"/>
      <c r="AS119" s="424"/>
      <c r="AT119" s="424"/>
      <c r="AU119" s="424"/>
      <c r="AV119" s="424"/>
    </row>
    <row r="120" customFormat="false" ht="12.75" hidden="false" customHeight="false" outlineLevel="0" collapsed="false">
      <c r="A120" s="318" t="s">
        <v>325</v>
      </c>
      <c r="B120" s="229" t="n">
        <v>0</v>
      </c>
      <c r="C120" s="229" t="n">
        <v>1</v>
      </c>
      <c r="D120" s="229" t="n">
        <v>2</v>
      </c>
      <c r="E120" s="229" t="n">
        <v>3</v>
      </c>
      <c r="F120" s="229" t="n">
        <v>4</v>
      </c>
      <c r="G120" s="229" t="n">
        <v>5</v>
      </c>
      <c r="H120" s="229" t="n">
        <v>6</v>
      </c>
      <c r="I120" s="229" t="n">
        <v>7</v>
      </c>
      <c r="J120" s="229" t="n">
        <v>8</v>
      </c>
      <c r="K120" s="229" t="n">
        <v>9</v>
      </c>
      <c r="L120" s="229" t="n">
        <v>10</v>
      </c>
      <c r="M120" s="229" t="n">
        <v>11</v>
      </c>
      <c r="N120" s="229" t="n">
        <v>12</v>
      </c>
      <c r="O120" s="229" t="n">
        <v>13</v>
      </c>
      <c r="P120" s="229" t="n">
        <v>14</v>
      </c>
      <c r="Q120" s="229" t="n">
        <v>15</v>
      </c>
      <c r="R120" s="229" t="n">
        <v>16</v>
      </c>
      <c r="S120" s="229" t="n">
        <v>17</v>
      </c>
      <c r="T120" s="229" t="n">
        <v>18</v>
      </c>
      <c r="U120" s="229" t="n">
        <v>19</v>
      </c>
      <c r="V120" s="229" t="n">
        <v>20</v>
      </c>
      <c r="W120" s="229" t="n">
        <v>21</v>
      </c>
      <c r="X120" s="425"/>
      <c r="Y120" s="425"/>
      <c r="Z120" s="425"/>
      <c r="AA120" s="425"/>
      <c r="AB120" s="425"/>
      <c r="AC120" s="425"/>
      <c r="AD120" s="425"/>
      <c r="AE120" s="425"/>
      <c r="AF120" s="425"/>
      <c r="AG120" s="425"/>
      <c r="AH120" s="425"/>
      <c r="AI120" s="425"/>
      <c r="AJ120" s="425"/>
      <c r="AK120" s="425"/>
      <c r="AL120" s="425"/>
      <c r="AM120" s="425"/>
      <c r="AN120" s="425"/>
      <c r="AO120" s="425"/>
      <c r="AP120" s="425"/>
      <c r="AQ120" s="425"/>
    </row>
    <row r="121" customFormat="false" ht="12.75" hidden="false" customHeight="false" outlineLevel="0" collapsed="false">
      <c r="B121" s="229" t="n">
        <v>0.5</v>
      </c>
      <c r="C121" s="229" t="n">
        <v>1.5</v>
      </c>
      <c r="D121" s="229" t="n">
        <v>2.5</v>
      </c>
      <c r="E121" s="229" t="n">
        <v>3.5</v>
      </c>
      <c r="F121" s="229" t="n">
        <v>4.5</v>
      </c>
      <c r="G121" s="229" t="n">
        <v>5.5</v>
      </c>
      <c r="H121" s="229" t="n">
        <v>6.5</v>
      </c>
      <c r="I121" s="229" t="n">
        <v>7.5</v>
      </c>
      <c r="J121" s="229" t="n">
        <v>8.5</v>
      </c>
      <c r="K121" s="229" t="n">
        <v>9.5</v>
      </c>
      <c r="L121" s="229" t="n">
        <v>10.5</v>
      </c>
      <c r="M121" s="229" t="n">
        <v>11.5</v>
      </c>
      <c r="N121" s="229" t="n">
        <v>12.5</v>
      </c>
      <c r="O121" s="229" t="n">
        <v>13.5</v>
      </c>
      <c r="P121" s="229" t="n">
        <v>14.5</v>
      </c>
      <c r="Q121" s="229" t="n">
        <v>15.5</v>
      </c>
      <c r="R121" s="229" t="n">
        <v>16.5</v>
      </c>
      <c r="S121" s="229" t="n">
        <v>17.5</v>
      </c>
      <c r="T121" s="229" t="n">
        <v>18.5</v>
      </c>
      <c r="U121" s="229" t="n">
        <v>19.5</v>
      </c>
      <c r="V121" s="229" t="n">
        <v>20.5</v>
      </c>
      <c r="W121" s="229" t="n">
        <v>21.5</v>
      </c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391"/>
      <c r="AP121" s="391"/>
    </row>
    <row r="122" customFormat="false" ht="12.75" hidden="false" customHeight="false" outlineLevel="0" collapsed="false">
      <c r="A122" s="318" t="s">
        <v>326</v>
      </c>
      <c r="B122" s="426"/>
      <c r="C122" s="391"/>
      <c r="D122" s="391"/>
      <c r="E122" s="391"/>
      <c r="F122" s="391"/>
      <c r="G122" s="391"/>
      <c r="H122" s="391"/>
      <c r="I122" s="391"/>
      <c r="J122" s="391"/>
      <c r="K122" s="391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1"/>
      <c r="W122" s="391"/>
      <c r="X122" s="391"/>
      <c r="Y122" s="391"/>
      <c r="Z122" s="391"/>
      <c r="AA122" s="391"/>
      <c r="AB122" s="391"/>
      <c r="AC122" s="391"/>
      <c r="AD122" s="391"/>
      <c r="AE122" s="391"/>
      <c r="AF122" s="391"/>
      <c r="AG122" s="391"/>
      <c r="AH122" s="391"/>
      <c r="AI122" s="391"/>
    </row>
    <row r="123" customFormat="false" ht="12.75" hidden="false" customHeight="false" outlineLevel="0" collapsed="false">
      <c r="A123" s="0" t="s">
        <v>181</v>
      </c>
      <c r="B123" s="427" t="n">
        <f aca="false">(SUMPRODUCT(B120:W120,B32:W32)+SUMPRODUCT(B121:W121,B37:W37))/B31</f>
        <v>9.7625</v>
      </c>
      <c r="C123" s="0"/>
      <c r="D123" s="0"/>
      <c r="E123" s="0"/>
      <c r="F123" s="391"/>
      <c r="G123" s="391"/>
      <c r="H123" s="391"/>
      <c r="I123" s="391"/>
      <c r="J123" s="391"/>
      <c r="K123" s="391"/>
      <c r="L123" s="391"/>
      <c r="M123" s="391"/>
      <c r="N123" s="391"/>
      <c r="O123" s="391"/>
      <c r="P123" s="391"/>
      <c r="Q123" s="391"/>
      <c r="R123" s="391"/>
      <c r="S123" s="391"/>
      <c r="T123" s="391"/>
      <c r="U123" s="391"/>
      <c r="V123" s="391"/>
      <c r="W123" s="391"/>
      <c r="X123" s="391"/>
      <c r="Y123" s="391"/>
      <c r="Z123" s="391"/>
      <c r="AA123" s="393"/>
      <c r="AB123" s="393"/>
      <c r="AC123" s="391"/>
      <c r="AD123" s="391"/>
      <c r="AE123" s="391"/>
      <c r="AF123" s="391"/>
      <c r="AG123" s="391"/>
      <c r="AH123" s="391"/>
      <c r="AI123" s="391"/>
      <c r="AJ123" s="391"/>
      <c r="AK123" s="391"/>
      <c r="AL123" s="391"/>
      <c r="AM123" s="391"/>
      <c r="AN123" s="391"/>
      <c r="AO123" s="391"/>
      <c r="AP123" s="391"/>
    </row>
    <row r="124" customFormat="false" ht="12.75" hidden="false" customHeight="false" outlineLevel="0" collapsed="false">
      <c r="A124" s="0" t="s">
        <v>182</v>
      </c>
      <c r="B124" s="427" t="n">
        <f aca="false">(SUMPRODUCT(B49:W49,B120:W120)+SUMPRODUCT(B121:W121,B54:W54))/B48</f>
        <v>9.7625</v>
      </c>
      <c r="C124" s="0"/>
      <c r="D124" s="0"/>
      <c r="E124" s="0"/>
    </row>
    <row r="125" customFormat="false" ht="12.75" hidden="false" customHeight="false" outlineLevel="0" collapsed="false">
      <c r="A125" s="0" t="s">
        <v>183</v>
      </c>
      <c r="B125" s="427" t="n">
        <f aca="false">(SUMPRODUCT(B120:W120,B66:W66)+SUMPRODUCT(B121:W121,B71:W71))/B65</f>
        <v>9.7625</v>
      </c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428"/>
      <c r="G132" s="428"/>
      <c r="H132" s="428"/>
      <c r="I132" s="428"/>
      <c r="J132" s="428"/>
      <c r="K132" s="428"/>
      <c r="L132" s="428"/>
      <c r="M132" s="428"/>
      <c r="N132" s="428"/>
      <c r="O132" s="428"/>
      <c r="P132" s="428"/>
      <c r="Q132" s="428"/>
      <c r="R132" s="428"/>
      <c r="S132" s="428"/>
      <c r="T132" s="428"/>
      <c r="U132" s="428"/>
      <c r="V132" s="428"/>
      <c r="W132" s="0"/>
      <c r="X132" s="0"/>
      <c r="Y132" s="0"/>
      <c r="Z132" s="0"/>
      <c r="AA132" s="0"/>
      <c r="AB132" s="0"/>
      <c r="AC132" s="0"/>
      <c r="AD132" s="0"/>
      <c r="A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  <row r="136" customFormat="false" ht="12.75" hidden="false" customHeight="false" outlineLevel="0" collapsed="false">
      <c r="A136" s="0"/>
      <c r="B136" s="0"/>
      <c r="C136" s="0"/>
      <c r="D136" s="0"/>
      <c r="E136" s="0"/>
    </row>
    <row r="137" customFormat="false" ht="12.75" hidden="false" customHeight="false" outlineLevel="0" collapsed="false">
      <c r="A137" s="0"/>
      <c r="B137" s="0"/>
      <c r="C137" s="0"/>
      <c r="D137" s="0"/>
      <c r="E137" s="0"/>
    </row>
    <row r="138" customFormat="false" ht="12.75" hidden="false" customHeight="false" outlineLevel="0" collapsed="false">
      <c r="A138" s="0"/>
      <c r="B138" s="0"/>
      <c r="C138" s="0"/>
      <c r="D138" s="0"/>
      <c r="E138" s="0"/>
    </row>
    <row r="139" customFormat="false" ht="12.75" hidden="false" customHeight="false" outlineLevel="0" collapsed="false">
      <c r="A139" s="0"/>
      <c r="B139" s="0"/>
      <c r="C139" s="0"/>
      <c r="D139" s="0"/>
      <c r="E139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2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4" min="3" style="429" width="8.99"/>
    <col collapsed="false" customWidth="true" hidden="false" outlineLevel="0" max="5" min="5" style="1" width="14.85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10" min="8" style="1" width="11.56"/>
    <col collapsed="false" customWidth="true" hidden="false" outlineLevel="0" max="11" min="11" style="1" width="11.28"/>
    <col collapsed="false" customWidth="true" hidden="false" outlineLevel="0" max="12" min="12" style="1" width="11.56"/>
    <col collapsed="false" customWidth="true" hidden="false" outlineLevel="0" max="13" min="13" style="1" width="11.28"/>
    <col collapsed="false" customWidth="true" hidden="false" outlineLevel="0" max="15" min="14" style="1" width="11.56"/>
    <col collapsed="false" customWidth="true" hidden="false" outlineLevel="0" max="16" min="16" style="1" width="11.13"/>
    <col collapsed="false" customWidth="true" hidden="false" outlineLevel="0" max="17" min="17" style="1" width="10.56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13"/>
    <col collapsed="false" customWidth="true" hidden="false" outlineLevel="0" max="23" min="23" style="1" width="10.85"/>
    <col collapsed="false" customWidth="true" hidden="false" outlineLevel="0" max="25" min="24" style="1" width="11.13"/>
    <col collapsed="false" customWidth="true" hidden="false" outlineLevel="0" max="27" min="26" style="1" width="11.56"/>
    <col collapsed="false" customWidth="true" hidden="false" outlineLevel="0" max="28" min="28" style="1" width="12.14"/>
    <col collapsed="false" customWidth="true" hidden="false" outlineLevel="0" max="29" min="29" style="1" width="11.7"/>
    <col collapsed="false" customWidth="false" hidden="false" outlineLevel="0" max="257" min="30" style="1" width="9.14"/>
  </cols>
  <sheetData>
    <row r="2" customFormat="false" ht="21" hidden="false" customHeight="tru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62" t="s">
        <v>327</v>
      </c>
    </row>
    <row r="5" customFormat="false" ht="12.75" hidden="false" customHeight="false" outlineLevel="0" collapsed="false">
      <c r="AA5" s="430"/>
    </row>
    <row r="6" customFormat="false" ht="12.75" hidden="false" customHeight="false" outlineLevel="0" collapsed="false">
      <c r="E6" s="303" t="n">
        <f aca="false">'Power Price Assumption'!F9</f>
        <v>0.5</v>
      </c>
      <c r="F6" s="303" t="n">
        <f aca="false">'Power Price Assumption'!G9</f>
        <v>1.5</v>
      </c>
      <c r="G6" s="303" t="n">
        <f aca="false">'Power Price Assumption'!H9</f>
        <v>2.5</v>
      </c>
      <c r="H6" s="303" t="n">
        <f aca="false">'Power Price Assumption'!I9</f>
        <v>3.5</v>
      </c>
      <c r="I6" s="303" t="n">
        <f aca="false">'Power Price Assumption'!J9</f>
        <v>4.5</v>
      </c>
      <c r="J6" s="303" t="n">
        <f aca="false">'Power Price Assumption'!K9</f>
        <v>5.5</v>
      </c>
      <c r="K6" s="303" t="n">
        <f aca="false">'Power Price Assumption'!L9</f>
        <v>6.5</v>
      </c>
      <c r="L6" s="303" t="n">
        <f aca="false">'Power Price Assumption'!M9</f>
        <v>7.5</v>
      </c>
      <c r="M6" s="303" t="n">
        <f aca="false">'Power Price Assumption'!N9</f>
        <v>8.5</v>
      </c>
      <c r="N6" s="303" t="n">
        <f aca="false">'Power Price Assumption'!O9</f>
        <v>9.5</v>
      </c>
      <c r="O6" s="303" t="n">
        <f aca="false">'Power Price Assumption'!P9</f>
        <v>10.5</v>
      </c>
      <c r="P6" s="303" t="n">
        <f aca="false">'Power Price Assumption'!Q9</f>
        <v>11.5</v>
      </c>
      <c r="Q6" s="303" t="n">
        <f aca="false">'Power Price Assumption'!R9</f>
        <v>12.5</v>
      </c>
      <c r="R6" s="303" t="n">
        <f aca="false">'Power Price Assumption'!S9</f>
        <v>13.5</v>
      </c>
      <c r="S6" s="303" t="n">
        <f aca="false">'Power Price Assumption'!T9</f>
        <v>14.5</v>
      </c>
      <c r="T6" s="303" t="n">
        <f aca="false">'Power Price Assumption'!U9</f>
        <v>15.5</v>
      </c>
      <c r="U6" s="303" t="n">
        <f aca="false">'Power Price Assumption'!V9</f>
        <v>16.5</v>
      </c>
      <c r="V6" s="303" t="n">
        <f aca="false">'Power Price Assumption'!W9</f>
        <v>17.5</v>
      </c>
      <c r="W6" s="303" t="n">
        <f aca="false">'Power Price Assumption'!X9</f>
        <v>18.5</v>
      </c>
      <c r="X6" s="303" t="n">
        <f aca="false">'Power Price Assumption'!Y9</f>
        <v>19.5</v>
      </c>
      <c r="Y6" s="303" t="n">
        <f aca="false">'Power Price Assumption'!Z9</f>
        <v>20.5</v>
      </c>
      <c r="Z6" s="303" t="n">
        <f aca="false">'Power Price Assumption'!AA9</f>
        <v>21.5</v>
      </c>
      <c r="AA6" s="430"/>
    </row>
    <row r="7" customFormat="false" ht="13.5" hidden="false" customHeight="false" outlineLevel="0" collapsed="false">
      <c r="A7" s="264" t="s">
        <v>241</v>
      </c>
      <c r="B7" s="431"/>
      <c r="C7" s="431"/>
      <c r="D7" s="431"/>
      <c r="E7" s="265" t="n">
        <f aca="false">'Power Price Assumption'!F10</f>
        <v>2002</v>
      </c>
      <c r="F7" s="265" t="n">
        <f aca="false">'Power Price Assumption'!G10</f>
        <v>2003</v>
      </c>
      <c r="G7" s="265" t="n">
        <f aca="false">'Power Price Assumption'!H10</f>
        <v>2004</v>
      </c>
      <c r="H7" s="265" t="n">
        <f aca="false">'Power Price Assumption'!I10</f>
        <v>2005</v>
      </c>
      <c r="I7" s="265" t="n">
        <f aca="false">'Power Price Assumption'!J10</f>
        <v>2006</v>
      </c>
      <c r="J7" s="265" t="n">
        <f aca="false">'Power Price Assumption'!K10</f>
        <v>2007</v>
      </c>
      <c r="K7" s="265" t="n">
        <f aca="false">'Power Price Assumption'!L10</f>
        <v>2008</v>
      </c>
      <c r="L7" s="265" t="n">
        <f aca="false">'Power Price Assumption'!M10</f>
        <v>2009</v>
      </c>
      <c r="M7" s="265" t="n">
        <f aca="false">'Power Price Assumption'!N10</f>
        <v>2010</v>
      </c>
      <c r="N7" s="265" t="n">
        <f aca="false">'Power Price Assumption'!O10</f>
        <v>2011</v>
      </c>
      <c r="O7" s="265" t="n">
        <f aca="false">'Power Price Assumption'!P10</f>
        <v>2012</v>
      </c>
      <c r="P7" s="265" t="n">
        <f aca="false">'Power Price Assumption'!Q10</f>
        <v>2013</v>
      </c>
      <c r="Q7" s="265" t="n">
        <f aca="false">'Power Price Assumption'!R10</f>
        <v>2014</v>
      </c>
      <c r="R7" s="265" t="n">
        <f aca="false">'Power Price Assumption'!S10</f>
        <v>2015</v>
      </c>
      <c r="S7" s="265" t="n">
        <f aca="false">'Power Price Assumption'!T10</f>
        <v>2016</v>
      </c>
      <c r="T7" s="265" t="n">
        <f aca="false">'Power Price Assumption'!U10</f>
        <v>2017</v>
      </c>
      <c r="U7" s="265" t="n">
        <f aca="false">'Power Price Assumption'!V10</f>
        <v>2018</v>
      </c>
      <c r="V7" s="265" t="n">
        <f aca="false">'Power Price Assumption'!W10</f>
        <v>2019</v>
      </c>
      <c r="W7" s="265" t="n">
        <f aca="false">'Power Price Assumption'!X10</f>
        <v>2020</v>
      </c>
      <c r="X7" s="265" t="n">
        <f aca="false">'Power Price Assumption'!Y10</f>
        <v>2021</v>
      </c>
      <c r="Y7" s="265" t="n">
        <f aca="false">'Power Price Assumption'!Z10</f>
        <v>2022</v>
      </c>
      <c r="Z7" s="265" t="n">
        <f aca="false">'Power Price Assumption'!AA10</f>
        <v>2023</v>
      </c>
      <c r="AA7" s="266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2"/>
      <c r="AX7" s="432"/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  <c r="BJ7" s="432"/>
      <c r="BK7" s="432"/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2"/>
      <c r="BX7" s="432"/>
      <c r="BY7" s="432"/>
      <c r="BZ7" s="432"/>
      <c r="CA7" s="432"/>
      <c r="CB7" s="432"/>
      <c r="CC7" s="432"/>
      <c r="CD7" s="432"/>
      <c r="CE7" s="432"/>
      <c r="CF7" s="432"/>
      <c r="CG7" s="432"/>
      <c r="CH7" s="432"/>
      <c r="CI7" s="432"/>
      <c r="CJ7" s="432"/>
      <c r="CK7" s="432"/>
      <c r="CL7" s="432"/>
      <c r="CM7" s="432"/>
      <c r="CN7" s="432"/>
      <c r="CO7" s="432"/>
      <c r="CP7" s="432"/>
      <c r="CQ7" s="432"/>
      <c r="CR7" s="432"/>
      <c r="CS7" s="432"/>
      <c r="CT7" s="432"/>
      <c r="CU7" s="432"/>
      <c r="CV7" s="432"/>
      <c r="CW7" s="432"/>
      <c r="CX7" s="432"/>
      <c r="CY7" s="432"/>
      <c r="CZ7" s="432"/>
      <c r="DA7" s="432"/>
      <c r="DB7" s="432"/>
      <c r="DC7" s="432"/>
      <c r="DD7" s="432"/>
      <c r="DE7" s="432"/>
      <c r="DF7" s="432"/>
      <c r="DG7" s="432"/>
      <c r="DH7" s="432"/>
      <c r="DI7" s="432"/>
      <c r="DJ7" s="432"/>
      <c r="DK7" s="432"/>
      <c r="DL7" s="432"/>
      <c r="DM7" s="432"/>
      <c r="DN7" s="432"/>
      <c r="DO7" s="432"/>
      <c r="DP7" s="432"/>
      <c r="DQ7" s="432"/>
      <c r="DR7" s="432"/>
      <c r="DS7" s="432"/>
      <c r="DT7" s="432"/>
      <c r="DU7" s="432"/>
      <c r="DV7" s="432"/>
      <c r="DW7" s="432"/>
      <c r="DX7" s="432"/>
      <c r="DY7" s="432"/>
      <c r="DZ7" s="432"/>
      <c r="EA7" s="432"/>
      <c r="EB7" s="432"/>
      <c r="EC7" s="432"/>
      <c r="ED7" s="432"/>
      <c r="EE7" s="432"/>
      <c r="EF7" s="432"/>
      <c r="EG7" s="432"/>
      <c r="EH7" s="432"/>
      <c r="EI7" s="432"/>
      <c r="EJ7" s="432"/>
      <c r="EK7" s="432"/>
      <c r="EL7" s="432"/>
      <c r="EM7" s="432"/>
      <c r="EN7" s="432"/>
      <c r="EO7" s="432"/>
      <c r="EP7" s="432"/>
      <c r="EQ7" s="432"/>
      <c r="ER7" s="432"/>
      <c r="ES7" s="432"/>
      <c r="ET7" s="432"/>
      <c r="EU7" s="432"/>
      <c r="EV7" s="432"/>
      <c r="EW7" s="432"/>
      <c r="EX7" s="432"/>
      <c r="EY7" s="432"/>
      <c r="EZ7" s="432"/>
      <c r="FA7" s="432"/>
      <c r="FB7" s="432"/>
      <c r="FC7" s="432"/>
      <c r="FD7" s="432"/>
      <c r="FE7" s="432"/>
      <c r="FF7" s="432"/>
      <c r="FG7" s="432"/>
      <c r="FH7" s="432"/>
      <c r="FI7" s="432"/>
      <c r="FJ7" s="432"/>
      <c r="FK7" s="432"/>
      <c r="FL7" s="432"/>
      <c r="FM7" s="432"/>
      <c r="FN7" s="432"/>
      <c r="FO7" s="432"/>
      <c r="FP7" s="432"/>
      <c r="FQ7" s="432"/>
      <c r="FR7" s="432"/>
      <c r="FS7" s="432"/>
      <c r="FT7" s="432"/>
      <c r="FU7" s="432"/>
      <c r="FV7" s="432"/>
      <c r="FW7" s="432"/>
      <c r="FX7" s="432"/>
      <c r="FY7" s="432"/>
      <c r="FZ7" s="432"/>
      <c r="GA7" s="432"/>
      <c r="GB7" s="432"/>
      <c r="GC7" s="432"/>
      <c r="GD7" s="432"/>
      <c r="GE7" s="432"/>
      <c r="GF7" s="432"/>
      <c r="GG7" s="432"/>
      <c r="GH7" s="432"/>
      <c r="GI7" s="432"/>
      <c r="GJ7" s="432"/>
      <c r="GK7" s="432"/>
      <c r="GL7" s="432"/>
      <c r="GM7" s="432"/>
      <c r="GN7" s="432"/>
      <c r="GO7" s="432"/>
      <c r="GP7" s="432"/>
      <c r="GQ7" s="432"/>
      <c r="GR7" s="432"/>
      <c r="GS7" s="432"/>
      <c r="GT7" s="432"/>
      <c r="GU7" s="432"/>
      <c r="GV7" s="432"/>
      <c r="GW7" s="432"/>
      <c r="GX7" s="432"/>
      <c r="GY7" s="432"/>
      <c r="GZ7" s="432"/>
      <c r="HA7" s="432"/>
      <c r="HB7" s="432"/>
      <c r="HC7" s="432"/>
      <c r="HD7" s="432"/>
      <c r="HE7" s="432"/>
      <c r="HF7" s="432"/>
      <c r="HG7" s="432"/>
      <c r="HH7" s="432"/>
      <c r="HI7" s="432"/>
      <c r="HJ7" s="432"/>
      <c r="HK7" s="432"/>
      <c r="HL7" s="432"/>
      <c r="HM7" s="432"/>
      <c r="HN7" s="432"/>
      <c r="HO7" s="432"/>
      <c r="HP7" s="432"/>
      <c r="HQ7" s="432"/>
      <c r="HR7" s="432"/>
      <c r="HS7" s="432"/>
      <c r="HT7" s="432"/>
      <c r="HU7" s="432"/>
      <c r="HV7" s="432"/>
      <c r="HW7" s="432"/>
      <c r="HX7" s="432"/>
      <c r="HY7" s="432"/>
      <c r="HZ7" s="432"/>
      <c r="IA7" s="432"/>
      <c r="IB7" s="432"/>
      <c r="IC7" s="432"/>
      <c r="ID7" s="432"/>
      <c r="IE7" s="432"/>
      <c r="IF7" s="432"/>
      <c r="IG7" s="432"/>
      <c r="IH7" s="432"/>
      <c r="II7" s="432"/>
      <c r="IJ7" s="432"/>
      <c r="IK7" s="432"/>
      <c r="IL7" s="432"/>
      <c r="IM7" s="432"/>
      <c r="IN7" s="432"/>
      <c r="IO7" s="432"/>
      <c r="IP7" s="432"/>
      <c r="IQ7" s="432"/>
      <c r="IR7" s="432"/>
      <c r="IS7" s="432"/>
      <c r="IT7" s="432"/>
      <c r="IU7" s="432"/>
      <c r="IV7" s="432"/>
      <c r="IW7" s="432"/>
    </row>
    <row r="8" customFormat="false" ht="12.75" hidden="false" customHeight="false" outlineLevel="0" collapsed="false">
      <c r="A8" s="433" t="s">
        <v>328</v>
      </c>
      <c r="B8" s="433"/>
      <c r="E8" s="39" t="n">
        <f aca="false">Assumptions!I17</f>
        <v>6</v>
      </c>
      <c r="F8" s="39" t="n">
        <v>12</v>
      </c>
      <c r="G8" s="39" t="n">
        <v>12</v>
      </c>
      <c r="H8" s="39" t="n">
        <v>12</v>
      </c>
      <c r="I8" s="39" t="n">
        <v>12</v>
      </c>
      <c r="J8" s="39" t="n">
        <v>12</v>
      </c>
      <c r="K8" s="39" t="n">
        <v>12</v>
      </c>
      <c r="L8" s="39" t="n">
        <v>12</v>
      </c>
      <c r="M8" s="39" t="n">
        <v>12</v>
      </c>
      <c r="N8" s="39" t="n">
        <v>12</v>
      </c>
      <c r="O8" s="39" t="n">
        <v>12</v>
      </c>
      <c r="P8" s="39" t="n">
        <v>12</v>
      </c>
      <c r="Q8" s="39" t="n">
        <v>12</v>
      </c>
      <c r="R8" s="39" t="n">
        <v>12</v>
      </c>
      <c r="S8" s="39" t="n">
        <v>12</v>
      </c>
      <c r="T8" s="39" t="n">
        <v>12</v>
      </c>
      <c r="U8" s="39" t="n">
        <v>12</v>
      </c>
      <c r="V8" s="39" t="n">
        <v>12</v>
      </c>
      <c r="W8" s="39" t="n">
        <v>12</v>
      </c>
      <c r="X8" s="39" t="n">
        <v>12</v>
      </c>
      <c r="Y8" s="39" t="n">
        <v>12</v>
      </c>
      <c r="Z8" s="434" t="n">
        <v>12</v>
      </c>
      <c r="AA8" s="434"/>
      <c r="AB8" s="0"/>
      <c r="AC8" s="0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432"/>
      <c r="BR8" s="432"/>
      <c r="BS8" s="432"/>
      <c r="BT8" s="432"/>
      <c r="BU8" s="432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  <c r="CP8" s="432"/>
      <c r="CQ8" s="432"/>
      <c r="CR8" s="432"/>
      <c r="CS8" s="432"/>
      <c r="CT8" s="432"/>
      <c r="CU8" s="432"/>
      <c r="CV8" s="432"/>
      <c r="CW8" s="432"/>
      <c r="CX8" s="432"/>
      <c r="CY8" s="432"/>
      <c r="CZ8" s="432"/>
      <c r="DA8" s="432"/>
      <c r="DB8" s="432"/>
      <c r="DC8" s="432"/>
      <c r="DD8" s="432"/>
      <c r="DE8" s="432"/>
      <c r="DF8" s="432"/>
      <c r="DG8" s="432"/>
      <c r="DH8" s="432"/>
      <c r="DI8" s="432"/>
      <c r="DJ8" s="432"/>
      <c r="DK8" s="432"/>
      <c r="DL8" s="432"/>
      <c r="DM8" s="432"/>
      <c r="DN8" s="432"/>
      <c r="DO8" s="432"/>
      <c r="DP8" s="432"/>
      <c r="DQ8" s="432"/>
      <c r="DR8" s="432"/>
      <c r="DS8" s="432"/>
      <c r="DT8" s="432"/>
      <c r="DU8" s="432"/>
      <c r="DV8" s="432"/>
      <c r="DW8" s="432"/>
      <c r="DX8" s="432"/>
      <c r="DY8" s="432"/>
      <c r="DZ8" s="432"/>
      <c r="EA8" s="432"/>
      <c r="EB8" s="432"/>
      <c r="EC8" s="432"/>
      <c r="ED8" s="432"/>
      <c r="EE8" s="432"/>
      <c r="EF8" s="432"/>
      <c r="EG8" s="432"/>
      <c r="EH8" s="432"/>
      <c r="EI8" s="432"/>
      <c r="EJ8" s="432"/>
      <c r="EK8" s="432"/>
      <c r="EL8" s="432"/>
      <c r="EM8" s="432"/>
      <c r="EN8" s="432"/>
      <c r="EO8" s="432"/>
      <c r="EP8" s="432"/>
      <c r="EQ8" s="432"/>
      <c r="ER8" s="432"/>
      <c r="ES8" s="432"/>
      <c r="ET8" s="432"/>
      <c r="EU8" s="432"/>
      <c r="EV8" s="432"/>
      <c r="EW8" s="432"/>
      <c r="EX8" s="432"/>
      <c r="EY8" s="432"/>
      <c r="EZ8" s="432"/>
      <c r="FA8" s="432"/>
      <c r="FB8" s="432"/>
      <c r="FC8" s="432"/>
      <c r="FD8" s="432"/>
      <c r="FE8" s="432"/>
      <c r="FF8" s="432"/>
      <c r="FG8" s="432"/>
      <c r="FH8" s="432"/>
      <c r="FI8" s="432"/>
      <c r="FJ8" s="432"/>
      <c r="FK8" s="432"/>
      <c r="FL8" s="432"/>
      <c r="FM8" s="432"/>
      <c r="FN8" s="432"/>
      <c r="FO8" s="432"/>
      <c r="FP8" s="432"/>
      <c r="FQ8" s="432"/>
      <c r="FR8" s="432"/>
      <c r="FS8" s="432"/>
      <c r="FT8" s="432"/>
      <c r="FU8" s="432"/>
      <c r="FV8" s="432"/>
      <c r="FW8" s="432"/>
      <c r="FX8" s="432"/>
      <c r="FY8" s="432"/>
      <c r="FZ8" s="432"/>
      <c r="GA8" s="432"/>
      <c r="GB8" s="432"/>
      <c r="GC8" s="432"/>
      <c r="GD8" s="432"/>
      <c r="GE8" s="432"/>
      <c r="GF8" s="432"/>
      <c r="GG8" s="432"/>
      <c r="GH8" s="432"/>
      <c r="GI8" s="432"/>
      <c r="GJ8" s="432"/>
      <c r="GK8" s="432"/>
      <c r="GL8" s="432"/>
      <c r="GM8" s="432"/>
      <c r="GN8" s="432"/>
      <c r="GO8" s="432"/>
      <c r="GP8" s="432"/>
      <c r="GQ8" s="432"/>
      <c r="GR8" s="432"/>
      <c r="GS8" s="432"/>
      <c r="GT8" s="432"/>
      <c r="GU8" s="432"/>
      <c r="GV8" s="432"/>
      <c r="GW8" s="432"/>
      <c r="GX8" s="432"/>
      <c r="GY8" s="432"/>
      <c r="GZ8" s="432"/>
      <c r="HA8" s="432"/>
      <c r="HB8" s="432"/>
      <c r="HC8" s="432"/>
      <c r="HD8" s="432"/>
      <c r="HE8" s="432"/>
      <c r="HF8" s="432"/>
      <c r="HG8" s="432"/>
      <c r="HH8" s="432"/>
      <c r="HI8" s="432"/>
      <c r="HJ8" s="432"/>
      <c r="HK8" s="432"/>
      <c r="HL8" s="432"/>
      <c r="HM8" s="432"/>
      <c r="HN8" s="432"/>
      <c r="HO8" s="432"/>
      <c r="HP8" s="432"/>
      <c r="HQ8" s="432"/>
      <c r="HR8" s="432"/>
      <c r="HS8" s="432"/>
      <c r="HT8" s="432"/>
      <c r="HU8" s="432"/>
      <c r="HV8" s="432"/>
      <c r="HW8" s="432"/>
      <c r="HX8" s="432"/>
      <c r="HY8" s="432"/>
      <c r="HZ8" s="432"/>
      <c r="IA8" s="432"/>
      <c r="IB8" s="432"/>
      <c r="IC8" s="432"/>
      <c r="ID8" s="432"/>
      <c r="IE8" s="432"/>
      <c r="IF8" s="432"/>
      <c r="IG8" s="432"/>
      <c r="IH8" s="432"/>
      <c r="II8" s="432"/>
      <c r="IJ8" s="432"/>
      <c r="IK8" s="432"/>
      <c r="IL8" s="432"/>
      <c r="IM8" s="432"/>
      <c r="IN8" s="432"/>
      <c r="IO8" s="432"/>
      <c r="IP8" s="432"/>
      <c r="IQ8" s="432"/>
      <c r="IR8" s="432"/>
      <c r="IS8" s="432"/>
      <c r="IT8" s="432"/>
      <c r="IU8" s="432"/>
      <c r="IV8" s="432"/>
      <c r="IW8" s="432"/>
    </row>
    <row r="9" customFormat="false" ht="12.75" hidden="false" customHeight="false" outlineLevel="0" collapsed="false">
      <c r="A9" s="433"/>
      <c r="B9" s="433"/>
      <c r="E9" s="39"/>
      <c r="F9" s="39"/>
      <c r="G9" s="39"/>
      <c r="H9" s="39"/>
      <c r="I9" s="39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0"/>
      <c r="AC9" s="0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2"/>
      <c r="AT9" s="432"/>
      <c r="AU9" s="432"/>
      <c r="AV9" s="432"/>
      <c r="AW9" s="432"/>
      <c r="AX9" s="432"/>
      <c r="AY9" s="432"/>
      <c r="AZ9" s="432"/>
      <c r="BA9" s="432"/>
      <c r="BB9" s="432"/>
      <c r="BC9" s="432"/>
      <c r="BD9" s="432"/>
      <c r="BE9" s="432"/>
      <c r="BF9" s="432"/>
      <c r="BG9" s="432"/>
      <c r="BH9" s="432"/>
      <c r="BI9" s="432"/>
      <c r="BJ9" s="432"/>
      <c r="BK9" s="432"/>
      <c r="BL9" s="432"/>
      <c r="BM9" s="432"/>
      <c r="BN9" s="432"/>
      <c r="BO9" s="432"/>
      <c r="BP9" s="432"/>
      <c r="BQ9" s="432"/>
      <c r="BR9" s="432"/>
      <c r="BS9" s="432"/>
      <c r="BT9" s="432"/>
      <c r="BU9" s="432"/>
      <c r="BV9" s="432"/>
      <c r="BW9" s="432"/>
      <c r="BX9" s="432"/>
      <c r="BY9" s="432"/>
      <c r="BZ9" s="432"/>
      <c r="CA9" s="432"/>
      <c r="CB9" s="432"/>
      <c r="CC9" s="432"/>
      <c r="CD9" s="432"/>
      <c r="CE9" s="432"/>
      <c r="CF9" s="432"/>
      <c r="CG9" s="432"/>
      <c r="CH9" s="432"/>
      <c r="CI9" s="432"/>
      <c r="CJ9" s="432"/>
      <c r="CK9" s="432"/>
      <c r="CL9" s="432"/>
      <c r="CM9" s="432"/>
      <c r="CN9" s="432"/>
      <c r="CO9" s="432"/>
      <c r="CP9" s="432"/>
      <c r="CQ9" s="432"/>
      <c r="CR9" s="432"/>
      <c r="CS9" s="432"/>
      <c r="CT9" s="432"/>
      <c r="CU9" s="432"/>
      <c r="CV9" s="432"/>
      <c r="CW9" s="432"/>
      <c r="CX9" s="432"/>
      <c r="CY9" s="432"/>
      <c r="CZ9" s="432"/>
      <c r="DA9" s="432"/>
      <c r="DB9" s="432"/>
      <c r="DC9" s="432"/>
      <c r="DD9" s="432"/>
      <c r="DE9" s="432"/>
      <c r="DF9" s="432"/>
      <c r="DG9" s="432"/>
      <c r="DH9" s="432"/>
      <c r="DI9" s="432"/>
      <c r="DJ9" s="432"/>
      <c r="DK9" s="432"/>
      <c r="DL9" s="432"/>
      <c r="DM9" s="432"/>
      <c r="DN9" s="432"/>
      <c r="DO9" s="432"/>
      <c r="DP9" s="432"/>
      <c r="DQ9" s="432"/>
      <c r="DR9" s="432"/>
      <c r="DS9" s="432"/>
      <c r="DT9" s="432"/>
      <c r="DU9" s="432"/>
      <c r="DV9" s="432"/>
      <c r="DW9" s="432"/>
      <c r="DX9" s="432"/>
      <c r="DY9" s="432"/>
      <c r="DZ9" s="432"/>
      <c r="EA9" s="432"/>
      <c r="EB9" s="432"/>
      <c r="EC9" s="432"/>
      <c r="ED9" s="432"/>
      <c r="EE9" s="432"/>
      <c r="EF9" s="432"/>
      <c r="EG9" s="432"/>
      <c r="EH9" s="432"/>
      <c r="EI9" s="432"/>
      <c r="EJ9" s="432"/>
      <c r="EK9" s="432"/>
      <c r="EL9" s="432"/>
      <c r="EM9" s="432"/>
      <c r="EN9" s="432"/>
      <c r="EO9" s="432"/>
      <c r="EP9" s="432"/>
      <c r="EQ9" s="432"/>
      <c r="ER9" s="432"/>
      <c r="ES9" s="432"/>
      <c r="ET9" s="432"/>
      <c r="EU9" s="432"/>
      <c r="EV9" s="432"/>
      <c r="EW9" s="432"/>
      <c r="EX9" s="432"/>
      <c r="EY9" s="432"/>
      <c r="EZ9" s="432"/>
      <c r="FA9" s="432"/>
      <c r="FB9" s="432"/>
      <c r="FC9" s="432"/>
      <c r="FD9" s="432"/>
      <c r="FE9" s="432"/>
      <c r="FF9" s="432"/>
      <c r="FG9" s="432"/>
      <c r="FH9" s="432"/>
      <c r="FI9" s="432"/>
      <c r="FJ9" s="432"/>
      <c r="FK9" s="432"/>
      <c r="FL9" s="432"/>
      <c r="FM9" s="432"/>
      <c r="FN9" s="432"/>
      <c r="FO9" s="432"/>
      <c r="FP9" s="432"/>
      <c r="FQ9" s="432"/>
      <c r="FR9" s="432"/>
      <c r="FS9" s="432"/>
      <c r="FT9" s="432"/>
      <c r="FU9" s="432"/>
      <c r="FV9" s="432"/>
      <c r="FW9" s="432"/>
      <c r="FX9" s="432"/>
      <c r="FY9" s="432"/>
      <c r="FZ9" s="432"/>
      <c r="GA9" s="432"/>
      <c r="GB9" s="432"/>
      <c r="GC9" s="432"/>
      <c r="GD9" s="432"/>
      <c r="GE9" s="432"/>
      <c r="GF9" s="432"/>
      <c r="GG9" s="432"/>
      <c r="GH9" s="432"/>
      <c r="GI9" s="432"/>
      <c r="GJ9" s="432"/>
      <c r="GK9" s="432"/>
      <c r="GL9" s="432"/>
      <c r="GM9" s="432"/>
      <c r="GN9" s="432"/>
      <c r="GO9" s="432"/>
      <c r="GP9" s="432"/>
      <c r="GQ9" s="432"/>
      <c r="GR9" s="432"/>
      <c r="GS9" s="432"/>
      <c r="GT9" s="432"/>
      <c r="GU9" s="432"/>
      <c r="GV9" s="432"/>
      <c r="GW9" s="432"/>
      <c r="GX9" s="432"/>
      <c r="GY9" s="432"/>
      <c r="GZ9" s="432"/>
      <c r="HA9" s="432"/>
      <c r="HB9" s="432"/>
      <c r="HC9" s="432"/>
      <c r="HD9" s="432"/>
      <c r="HE9" s="432"/>
      <c r="HF9" s="432"/>
      <c r="HG9" s="432"/>
      <c r="HH9" s="432"/>
      <c r="HI9" s="432"/>
      <c r="HJ9" s="432"/>
      <c r="HK9" s="432"/>
      <c r="HL9" s="432"/>
      <c r="HM9" s="432"/>
      <c r="HN9" s="432"/>
      <c r="HO9" s="432"/>
      <c r="HP9" s="432"/>
      <c r="HQ9" s="432"/>
      <c r="HR9" s="432"/>
      <c r="HS9" s="432"/>
      <c r="HT9" s="432"/>
      <c r="HU9" s="432"/>
      <c r="HV9" s="432"/>
      <c r="HW9" s="432"/>
      <c r="HX9" s="432"/>
      <c r="HY9" s="432"/>
      <c r="HZ9" s="432"/>
      <c r="IA9" s="432"/>
      <c r="IB9" s="432"/>
      <c r="IC9" s="432"/>
      <c r="ID9" s="432"/>
      <c r="IE9" s="432"/>
      <c r="IF9" s="432"/>
      <c r="IG9" s="432"/>
      <c r="IH9" s="432"/>
      <c r="II9" s="432"/>
      <c r="IJ9" s="432"/>
      <c r="IK9" s="432"/>
      <c r="IL9" s="432"/>
      <c r="IM9" s="432"/>
      <c r="IN9" s="432"/>
      <c r="IO9" s="432"/>
      <c r="IP9" s="432"/>
      <c r="IQ9" s="432"/>
      <c r="IR9" s="432"/>
      <c r="IS9" s="432"/>
      <c r="IT9" s="432"/>
      <c r="IU9" s="432"/>
      <c r="IV9" s="432"/>
      <c r="IW9" s="432"/>
    </row>
    <row r="10" customFormat="false" ht="15.75" hidden="false" customHeight="false" outlineLevel="0" collapsed="false">
      <c r="A10" s="4"/>
      <c r="AB10" s="0"/>
      <c r="AC10" s="0"/>
    </row>
    <row r="11" customFormat="false" ht="12.75" hidden="false" customHeight="false" outlineLevel="0" collapsed="false">
      <c r="A11" s="435" t="s">
        <v>329</v>
      </c>
      <c r="C11" s="436"/>
      <c r="D11" s="436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0"/>
      <c r="AC11" s="0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8"/>
      <c r="AW11" s="438"/>
      <c r="AX11" s="438"/>
      <c r="AY11" s="438"/>
      <c r="AZ11" s="438"/>
      <c r="BA11" s="438"/>
      <c r="BB11" s="438"/>
      <c r="BC11" s="438"/>
      <c r="BD11" s="438"/>
      <c r="BE11" s="438"/>
      <c r="BF11" s="438"/>
      <c r="BG11" s="438"/>
      <c r="BH11" s="438"/>
      <c r="BI11" s="438"/>
      <c r="BJ11" s="438"/>
      <c r="BK11" s="438"/>
      <c r="BL11" s="438"/>
      <c r="BM11" s="438"/>
      <c r="BN11" s="438"/>
      <c r="BO11" s="438"/>
      <c r="BP11" s="438"/>
      <c r="BQ11" s="438"/>
      <c r="BR11" s="438"/>
      <c r="BS11" s="438"/>
      <c r="BT11" s="438"/>
      <c r="BU11" s="438"/>
      <c r="BV11" s="438"/>
      <c r="BW11" s="438"/>
      <c r="BX11" s="438"/>
      <c r="BY11" s="438"/>
      <c r="BZ11" s="438"/>
      <c r="CA11" s="438"/>
      <c r="CB11" s="438"/>
      <c r="CC11" s="438"/>
      <c r="CD11" s="438"/>
      <c r="CE11" s="438"/>
      <c r="CF11" s="438"/>
      <c r="CG11" s="438"/>
      <c r="CH11" s="438"/>
      <c r="CI11" s="438"/>
      <c r="CJ11" s="438"/>
      <c r="CK11" s="438"/>
      <c r="CL11" s="438"/>
      <c r="CM11" s="438"/>
      <c r="CN11" s="438"/>
      <c r="CO11" s="438"/>
      <c r="CP11" s="438"/>
      <c r="CQ11" s="438"/>
      <c r="CR11" s="438"/>
      <c r="CS11" s="438"/>
      <c r="CT11" s="438"/>
      <c r="CU11" s="438"/>
      <c r="CV11" s="438"/>
      <c r="CW11" s="438"/>
      <c r="CX11" s="438"/>
      <c r="CY11" s="438"/>
      <c r="CZ11" s="438"/>
      <c r="DA11" s="438"/>
      <c r="DB11" s="438"/>
      <c r="DC11" s="438"/>
      <c r="DD11" s="438"/>
      <c r="DE11" s="438"/>
      <c r="DF11" s="438"/>
      <c r="DG11" s="438"/>
      <c r="DH11" s="438"/>
      <c r="DI11" s="438"/>
      <c r="DJ11" s="438"/>
      <c r="DK11" s="438"/>
      <c r="DL11" s="438"/>
      <c r="DM11" s="438"/>
      <c r="DN11" s="438"/>
      <c r="DO11" s="438"/>
      <c r="DP11" s="438"/>
      <c r="DQ11" s="438"/>
      <c r="DR11" s="438"/>
      <c r="DS11" s="438"/>
      <c r="DT11" s="438"/>
      <c r="DU11" s="438"/>
      <c r="DV11" s="438"/>
      <c r="DW11" s="438"/>
      <c r="DX11" s="438"/>
      <c r="DY11" s="438"/>
      <c r="DZ11" s="438"/>
      <c r="EA11" s="438"/>
      <c r="EB11" s="438"/>
      <c r="EC11" s="438"/>
      <c r="ED11" s="438"/>
      <c r="EE11" s="438"/>
      <c r="EF11" s="438"/>
      <c r="EG11" s="438"/>
      <c r="EH11" s="438"/>
      <c r="EI11" s="438"/>
      <c r="EJ11" s="438"/>
      <c r="EK11" s="438"/>
      <c r="EL11" s="438"/>
      <c r="EM11" s="438"/>
      <c r="EN11" s="438"/>
      <c r="EO11" s="438"/>
      <c r="EP11" s="438"/>
      <c r="EQ11" s="438"/>
      <c r="ER11" s="438"/>
      <c r="ES11" s="438"/>
      <c r="ET11" s="438"/>
      <c r="EU11" s="438"/>
      <c r="EV11" s="438"/>
      <c r="EW11" s="438"/>
      <c r="EX11" s="438"/>
      <c r="EY11" s="438"/>
      <c r="EZ11" s="438"/>
      <c r="FA11" s="438"/>
      <c r="FB11" s="438"/>
      <c r="FC11" s="438"/>
      <c r="FD11" s="438"/>
      <c r="FE11" s="438"/>
      <c r="FF11" s="438"/>
      <c r="FG11" s="438"/>
      <c r="FH11" s="438"/>
      <c r="FI11" s="438"/>
      <c r="FJ11" s="438"/>
      <c r="FK11" s="438"/>
      <c r="FL11" s="438"/>
      <c r="FM11" s="438"/>
      <c r="FN11" s="438"/>
      <c r="FO11" s="438"/>
      <c r="FP11" s="438"/>
      <c r="FQ11" s="438"/>
      <c r="FR11" s="438"/>
      <c r="FS11" s="438"/>
      <c r="FT11" s="438"/>
      <c r="FU11" s="438"/>
      <c r="FV11" s="438"/>
      <c r="FW11" s="438"/>
      <c r="FX11" s="438"/>
      <c r="FY11" s="438"/>
      <c r="FZ11" s="438"/>
      <c r="GA11" s="438"/>
      <c r="GB11" s="438"/>
      <c r="GC11" s="438"/>
      <c r="GD11" s="438"/>
      <c r="GE11" s="438"/>
      <c r="GF11" s="438"/>
      <c r="GG11" s="438"/>
      <c r="GH11" s="438"/>
      <c r="GI11" s="438"/>
      <c r="GJ11" s="438"/>
      <c r="GK11" s="438"/>
      <c r="GL11" s="438"/>
      <c r="GM11" s="438"/>
      <c r="GN11" s="438"/>
      <c r="GO11" s="438"/>
      <c r="GP11" s="438"/>
      <c r="GQ11" s="438"/>
      <c r="GR11" s="438"/>
      <c r="GS11" s="438"/>
      <c r="GT11" s="438"/>
      <c r="GU11" s="438"/>
      <c r="GV11" s="438"/>
      <c r="GW11" s="438"/>
      <c r="GX11" s="438"/>
      <c r="GY11" s="438"/>
      <c r="GZ11" s="438"/>
      <c r="HA11" s="438"/>
      <c r="HB11" s="438"/>
      <c r="HC11" s="438"/>
      <c r="HD11" s="438"/>
      <c r="HE11" s="438"/>
      <c r="HF11" s="438"/>
      <c r="HG11" s="438"/>
      <c r="HH11" s="438"/>
      <c r="HI11" s="438"/>
      <c r="HJ11" s="438"/>
      <c r="HK11" s="438"/>
      <c r="HL11" s="438"/>
      <c r="HM11" s="438"/>
      <c r="HN11" s="438"/>
      <c r="HO11" s="438"/>
      <c r="HP11" s="438"/>
      <c r="HQ11" s="438"/>
      <c r="HR11" s="438"/>
      <c r="HS11" s="438"/>
      <c r="HT11" s="438"/>
      <c r="HU11" s="438"/>
      <c r="HV11" s="438"/>
      <c r="HW11" s="438"/>
      <c r="HX11" s="438"/>
      <c r="HY11" s="438"/>
      <c r="HZ11" s="438"/>
      <c r="IA11" s="438"/>
      <c r="IB11" s="438"/>
      <c r="IC11" s="438"/>
      <c r="ID11" s="438"/>
      <c r="IE11" s="438"/>
      <c r="IF11" s="438"/>
      <c r="IG11" s="438"/>
      <c r="IH11" s="438"/>
      <c r="II11" s="438"/>
      <c r="IJ11" s="438"/>
      <c r="IK11" s="438"/>
      <c r="IL11" s="438"/>
      <c r="IM11" s="438"/>
      <c r="IN11" s="438"/>
      <c r="IO11" s="438"/>
      <c r="IP11" s="438"/>
      <c r="IQ11" s="438"/>
      <c r="IR11" s="438"/>
      <c r="IS11" s="438"/>
      <c r="IT11" s="438"/>
      <c r="IU11" s="438"/>
      <c r="IV11" s="438"/>
      <c r="IW11" s="438"/>
    </row>
    <row r="12" customFormat="false" ht="12.75" hidden="false" customHeight="false" outlineLevel="0" collapsed="false">
      <c r="B12" s="439" t="s">
        <v>330</v>
      </c>
      <c r="E12" s="386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AB12" s="0"/>
      <c r="AC12" s="0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8"/>
      <c r="BA12" s="438"/>
      <c r="BB12" s="438"/>
      <c r="BC12" s="438"/>
      <c r="BD12" s="438"/>
      <c r="BE12" s="438"/>
      <c r="BF12" s="438"/>
      <c r="BG12" s="438"/>
      <c r="BH12" s="438"/>
      <c r="BI12" s="438"/>
      <c r="BJ12" s="438"/>
      <c r="BK12" s="438"/>
      <c r="BL12" s="438"/>
      <c r="BM12" s="438"/>
      <c r="BN12" s="438"/>
      <c r="BO12" s="438"/>
      <c r="BP12" s="438"/>
      <c r="BQ12" s="438"/>
      <c r="BR12" s="438"/>
      <c r="BS12" s="438"/>
      <c r="BT12" s="438"/>
      <c r="BU12" s="438"/>
      <c r="BV12" s="438"/>
      <c r="BW12" s="438"/>
      <c r="BX12" s="438"/>
      <c r="BY12" s="438"/>
      <c r="BZ12" s="438"/>
      <c r="CA12" s="438"/>
      <c r="CB12" s="438"/>
      <c r="CC12" s="438"/>
      <c r="CD12" s="438"/>
      <c r="CE12" s="438"/>
      <c r="CF12" s="438"/>
      <c r="CG12" s="438"/>
      <c r="CH12" s="438"/>
      <c r="CI12" s="438"/>
      <c r="CJ12" s="438"/>
      <c r="CK12" s="438"/>
      <c r="CL12" s="438"/>
      <c r="CM12" s="438"/>
      <c r="CN12" s="438"/>
      <c r="CO12" s="438"/>
      <c r="CP12" s="438"/>
      <c r="CQ12" s="438"/>
      <c r="CR12" s="438"/>
      <c r="CS12" s="438"/>
      <c r="CT12" s="438"/>
      <c r="CU12" s="438"/>
      <c r="CV12" s="438"/>
      <c r="CW12" s="438"/>
      <c r="CX12" s="438"/>
      <c r="CY12" s="438"/>
      <c r="CZ12" s="438"/>
      <c r="DA12" s="438"/>
      <c r="DB12" s="438"/>
      <c r="DC12" s="438"/>
      <c r="DD12" s="438"/>
      <c r="DE12" s="438"/>
      <c r="DF12" s="438"/>
      <c r="DG12" s="438"/>
      <c r="DH12" s="438"/>
      <c r="DI12" s="438"/>
      <c r="DJ12" s="438"/>
      <c r="DK12" s="438"/>
      <c r="DL12" s="438"/>
      <c r="DM12" s="438"/>
      <c r="DN12" s="438"/>
      <c r="DO12" s="438"/>
      <c r="DP12" s="438"/>
      <c r="DQ12" s="438"/>
      <c r="DR12" s="438"/>
      <c r="DS12" s="438"/>
      <c r="DT12" s="438"/>
      <c r="DU12" s="438"/>
      <c r="DV12" s="438"/>
      <c r="DW12" s="438"/>
      <c r="DX12" s="438"/>
      <c r="DY12" s="438"/>
      <c r="DZ12" s="438"/>
      <c r="EA12" s="438"/>
      <c r="EB12" s="438"/>
      <c r="EC12" s="438"/>
      <c r="ED12" s="438"/>
      <c r="EE12" s="438"/>
      <c r="EF12" s="438"/>
      <c r="EG12" s="438"/>
      <c r="EH12" s="438"/>
      <c r="EI12" s="438"/>
      <c r="EJ12" s="438"/>
      <c r="EK12" s="438"/>
      <c r="EL12" s="438"/>
      <c r="EM12" s="438"/>
      <c r="EN12" s="438"/>
      <c r="EO12" s="438"/>
      <c r="EP12" s="438"/>
      <c r="EQ12" s="438"/>
      <c r="ER12" s="438"/>
      <c r="ES12" s="438"/>
      <c r="ET12" s="438"/>
      <c r="EU12" s="438"/>
      <c r="EV12" s="438"/>
      <c r="EW12" s="438"/>
      <c r="EX12" s="438"/>
      <c r="EY12" s="438"/>
      <c r="EZ12" s="438"/>
      <c r="FA12" s="438"/>
      <c r="FB12" s="438"/>
      <c r="FC12" s="438"/>
      <c r="FD12" s="438"/>
      <c r="FE12" s="438"/>
      <c r="FF12" s="438"/>
      <c r="FG12" s="438"/>
      <c r="FH12" s="438"/>
      <c r="FI12" s="438"/>
      <c r="FJ12" s="438"/>
      <c r="FK12" s="438"/>
      <c r="FL12" s="438"/>
      <c r="FM12" s="438"/>
      <c r="FN12" s="438"/>
      <c r="FO12" s="438"/>
      <c r="FP12" s="438"/>
      <c r="FQ12" s="438"/>
      <c r="FR12" s="438"/>
      <c r="FS12" s="438"/>
      <c r="FT12" s="438"/>
      <c r="FU12" s="438"/>
      <c r="FV12" s="438"/>
      <c r="FW12" s="438"/>
      <c r="FX12" s="438"/>
      <c r="FY12" s="438"/>
      <c r="FZ12" s="438"/>
      <c r="GA12" s="438"/>
      <c r="GB12" s="438"/>
      <c r="GC12" s="438"/>
      <c r="GD12" s="438"/>
      <c r="GE12" s="438"/>
      <c r="GF12" s="438"/>
      <c r="GG12" s="438"/>
      <c r="GH12" s="438"/>
      <c r="GI12" s="438"/>
      <c r="GJ12" s="438"/>
      <c r="GK12" s="438"/>
      <c r="GL12" s="438"/>
      <c r="GM12" s="438"/>
      <c r="GN12" s="438"/>
      <c r="GO12" s="438"/>
      <c r="GP12" s="438"/>
      <c r="GQ12" s="438"/>
      <c r="GR12" s="438"/>
      <c r="GS12" s="438"/>
      <c r="GT12" s="438"/>
      <c r="GU12" s="438"/>
      <c r="GV12" s="438"/>
      <c r="GW12" s="438"/>
      <c r="GX12" s="438"/>
      <c r="GY12" s="438"/>
      <c r="GZ12" s="438"/>
      <c r="HA12" s="438"/>
      <c r="HB12" s="438"/>
      <c r="HC12" s="438"/>
      <c r="HD12" s="438"/>
      <c r="HE12" s="438"/>
      <c r="HF12" s="438"/>
      <c r="HG12" s="438"/>
      <c r="HH12" s="438"/>
      <c r="HI12" s="438"/>
      <c r="HJ12" s="438"/>
      <c r="HK12" s="438"/>
      <c r="HL12" s="438"/>
      <c r="HM12" s="438"/>
      <c r="HN12" s="438"/>
      <c r="HO12" s="438"/>
      <c r="HP12" s="438"/>
      <c r="HQ12" s="438"/>
      <c r="HR12" s="438"/>
      <c r="HS12" s="438"/>
      <c r="HT12" s="438"/>
      <c r="HU12" s="438"/>
      <c r="HV12" s="438"/>
      <c r="HW12" s="438"/>
      <c r="HX12" s="438"/>
      <c r="HY12" s="438"/>
      <c r="HZ12" s="438"/>
      <c r="IA12" s="438"/>
      <c r="IB12" s="438"/>
      <c r="IC12" s="438"/>
      <c r="ID12" s="438"/>
      <c r="IE12" s="438"/>
      <c r="IF12" s="438"/>
      <c r="IG12" s="438"/>
      <c r="IH12" s="438"/>
      <c r="II12" s="438"/>
      <c r="IJ12" s="438"/>
      <c r="IK12" s="438"/>
      <c r="IL12" s="438"/>
      <c r="IM12" s="438"/>
      <c r="IN12" s="438"/>
      <c r="IO12" s="438"/>
      <c r="IP12" s="438"/>
      <c r="IQ12" s="438"/>
      <c r="IR12" s="438"/>
      <c r="IS12" s="438"/>
      <c r="IT12" s="438"/>
      <c r="IU12" s="438"/>
      <c r="IV12" s="438"/>
      <c r="IW12" s="438"/>
    </row>
    <row r="13" customFormat="false" ht="12.75" hidden="false" customHeight="false" outlineLevel="0" collapsed="false">
      <c r="A13" s="441" t="s">
        <v>331</v>
      </c>
      <c r="B13" s="442" t="n">
        <f aca="false">Assumptions!$N$12</f>
        <v>15</v>
      </c>
      <c r="C13" s="443"/>
      <c r="D13" s="443"/>
      <c r="E13" s="444" t="n">
        <v>0.05</v>
      </c>
      <c r="F13" s="444" t="n">
        <v>0.095</v>
      </c>
      <c r="G13" s="444" t="n">
        <v>0.0855</v>
      </c>
      <c r="H13" s="444" t="n">
        <v>0.077</v>
      </c>
      <c r="I13" s="444" t="n">
        <v>0.0693</v>
      </c>
      <c r="J13" s="444" t="n">
        <v>0.0623</v>
      </c>
      <c r="K13" s="444" t="n">
        <v>0.059</v>
      </c>
      <c r="L13" s="444" t="n">
        <v>0.0591</v>
      </c>
      <c r="M13" s="444" t="n">
        <v>0.059</v>
      </c>
      <c r="N13" s="444" t="n">
        <v>0.0591</v>
      </c>
      <c r="O13" s="444" t="n">
        <v>0.059</v>
      </c>
      <c r="P13" s="444" t="n">
        <v>0.0591</v>
      </c>
      <c r="Q13" s="444" t="n">
        <v>0.059</v>
      </c>
      <c r="R13" s="444" t="n">
        <v>0.0591</v>
      </c>
      <c r="S13" s="444" t="n">
        <v>0.059</v>
      </c>
      <c r="T13" s="444" t="n">
        <v>0.0295</v>
      </c>
      <c r="U13" s="444" t="n">
        <v>0</v>
      </c>
      <c r="V13" s="444" t="n">
        <v>0</v>
      </c>
      <c r="W13" s="444" t="n">
        <v>0</v>
      </c>
      <c r="X13" s="444" t="n">
        <v>0</v>
      </c>
      <c r="Y13" s="444" t="n">
        <v>0</v>
      </c>
      <c r="Z13" s="444" t="n">
        <v>0</v>
      </c>
      <c r="AA13" s="386"/>
      <c r="AB13" s="0"/>
      <c r="AC13" s="0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8"/>
      <c r="BG13" s="438"/>
      <c r="BH13" s="438"/>
      <c r="BI13" s="438"/>
      <c r="BJ13" s="438"/>
      <c r="BK13" s="438"/>
      <c r="BL13" s="438"/>
      <c r="BM13" s="438"/>
      <c r="BN13" s="438"/>
      <c r="BO13" s="438"/>
      <c r="BP13" s="438"/>
      <c r="BQ13" s="438"/>
      <c r="BR13" s="438"/>
      <c r="BS13" s="438"/>
      <c r="BT13" s="438"/>
      <c r="BU13" s="438"/>
      <c r="BV13" s="438"/>
      <c r="BW13" s="438"/>
      <c r="BX13" s="438"/>
      <c r="BY13" s="438"/>
      <c r="BZ13" s="438"/>
      <c r="CA13" s="438"/>
      <c r="CB13" s="438"/>
      <c r="CC13" s="438"/>
      <c r="CD13" s="438"/>
      <c r="CE13" s="438"/>
      <c r="CF13" s="438"/>
      <c r="CG13" s="438"/>
      <c r="CH13" s="438"/>
      <c r="CI13" s="438"/>
      <c r="CJ13" s="438"/>
      <c r="CK13" s="438"/>
      <c r="CL13" s="438"/>
      <c r="CM13" s="438"/>
      <c r="CN13" s="438"/>
      <c r="CO13" s="438"/>
      <c r="CP13" s="438"/>
      <c r="CQ13" s="438"/>
      <c r="CR13" s="438"/>
      <c r="CS13" s="438"/>
      <c r="CT13" s="438"/>
      <c r="CU13" s="438"/>
      <c r="CV13" s="438"/>
      <c r="CW13" s="438"/>
      <c r="CX13" s="438"/>
      <c r="CY13" s="438"/>
      <c r="CZ13" s="438"/>
      <c r="DA13" s="438"/>
      <c r="DB13" s="438"/>
      <c r="DC13" s="438"/>
      <c r="DD13" s="438"/>
      <c r="DE13" s="438"/>
      <c r="DF13" s="438"/>
      <c r="DG13" s="438"/>
      <c r="DH13" s="438"/>
      <c r="DI13" s="438"/>
      <c r="DJ13" s="438"/>
      <c r="DK13" s="438"/>
      <c r="DL13" s="438"/>
      <c r="DM13" s="438"/>
      <c r="DN13" s="438"/>
      <c r="DO13" s="438"/>
      <c r="DP13" s="438"/>
      <c r="DQ13" s="438"/>
      <c r="DR13" s="438"/>
      <c r="DS13" s="438"/>
      <c r="DT13" s="438"/>
      <c r="DU13" s="438"/>
      <c r="DV13" s="438"/>
      <c r="DW13" s="438"/>
      <c r="DX13" s="438"/>
      <c r="DY13" s="438"/>
      <c r="DZ13" s="438"/>
      <c r="EA13" s="438"/>
      <c r="EB13" s="438"/>
      <c r="EC13" s="438"/>
      <c r="ED13" s="438"/>
      <c r="EE13" s="438"/>
      <c r="EF13" s="438"/>
      <c r="EG13" s="438"/>
      <c r="EH13" s="438"/>
      <c r="EI13" s="438"/>
      <c r="EJ13" s="438"/>
      <c r="EK13" s="438"/>
      <c r="EL13" s="438"/>
      <c r="EM13" s="438"/>
      <c r="EN13" s="438"/>
      <c r="EO13" s="438"/>
      <c r="EP13" s="438"/>
      <c r="EQ13" s="438"/>
      <c r="ER13" s="438"/>
      <c r="ES13" s="438"/>
      <c r="ET13" s="438"/>
      <c r="EU13" s="438"/>
      <c r="EV13" s="438"/>
      <c r="EW13" s="438"/>
      <c r="EX13" s="438"/>
      <c r="EY13" s="438"/>
      <c r="EZ13" s="438"/>
      <c r="FA13" s="438"/>
      <c r="FB13" s="438"/>
      <c r="FC13" s="438"/>
      <c r="FD13" s="438"/>
      <c r="FE13" s="438"/>
      <c r="FF13" s="438"/>
      <c r="FG13" s="438"/>
      <c r="FH13" s="438"/>
      <c r="FI13" s="438"/>
      <c r="FJ13" s="438"/>
      <c r="FK13" s="438"/>
      <c r="FL13" s="438"/>
      <c r="FM13" s="438"/>
      <c r="FN13" s="438"/>
      <c r="FO13" s="438"/>
      <c r="FP13" s="438"/>
      <c r="FQ13" s="438"/>
      <c r="FR13" s="438"/>
      <c r="FS13" s="438"/>
      <c r="FT13" s="438"/>
      <c r="FU13" s="438"/>
      <c r="FV13" s="438"/>
      <c r="FW13" s="438"/>
      <c r="FX13" s="438"/>
      <c r="FY13" s="438"/>
      <c r="FZ13" s="438"/>
      <c r="GA13" s="438"/>
      <c r="GB13" s="438"/>
      <c r="GC13" s="438"/>
      <c r="GD13" s="438"/>
      <c r="GE13" s="438"/>
      <c r="GF13" s="438"/>
      <c r="GG13" s="438"/>
      <c r="GH13" s="438"/>
      <c r="GI13" s="438"/>
      <c r="GJ13" s="438"/>
      <c r="GK13" s="438"/>
      <c r="GL13" s="438"/>
      <c r="GM13" s="438"/>
      <c r="GN13" s="438"/>
      <c r="GO13" s="438"/>
      <c r="GP13" s="438"/>
      <c r="GQ13" s="438"/>
      <c r="GR13" s="438"/>
      <c r="GS13" s="438"/>
      <c r="GT13" s="438"/>
      <c r="GU13" s="438"/>
      <c r="GV13" s="438"/>
      <c r="GW13" s="438"/>
      <c r="GX13" s="438"/>
      <c r="GY13" s="438"/>
      <c r="GZ13" s="438"/>
      <c r="HA13" s="438"/>
      <c r="HB13" s="438"/>
      <c r="HC13" s="438"/>
      <c r="HD13" s="438"/>
      <c r="HE13" s="438"/>
      <c r="HF13" s="438"/>
      <c r="HG13" s="438"/>
      <c r="HH13" s="438"/>
      <c r="HI13" s="438"/>
      <c r="HJ13" s="438"/>
      <c r="HK13" s="438"/>
      <c r="HL13" s="438"/>
      <c r="HM13" s="438"/>
      <c r="HN13" s="438"/>
      <c r="HO13" s="438"/>
      <c r="HP13" s="438"/>
      <c r="HQ13" s="438"/>
      <c r="HR13" s="438"/>
      <c r="HS13" s="438"/>
      <c r="HT13" s="438"/>
      <c r="HU13" s="438"/>
      <c r="HV13" s="438"/>
      <c r="HW13" s="438"/>
      <c r="HX13" s="438"/>
      <c r="HY13" s="438"/>
      <c r="HZ13" s="438"/>
      <c r="IA13" s="438"/>
      <c r="IB13" s="438"/>
      <c r="IC13" s="438"/>
      <c r="ID13" s="438"/>
      <c r="IE13" s="438"/>
      <c r="IF13" s="438"/>
      <c r="IG13" s="438"/>
      <c r="IH13" s="438"/>
      <c r="II13" s="438"/>
      <c r="IJ13" s="438"/>
      <c r="IK13" s="438"/>
      <c r="IL13" s="438"/>
      <c r="IM13" s="438"/>
      <c r="IN13" s="438"/>
      <c r="IO13" s="438"/>
      <c r="IP13" s="438"/>
      <c r="IQ13" s="438"/>
      <c r="IR13" s="438"/>
      <c r="IS13" s="438"/>
      <c r="IT13" s="438"/>
      <c r="IU13" s="438"/>
      <c r="IV13" s="438"/>
      <c r="IW13" s="438"/>
    </row>
    <row r="14" customFormat="false" ht="12.75" hidden="false" customHeight="false" outlineLevel="0" collapsed="false">
      <c r="A14" s="445" t="s">
        <v>332</v>
      </c>
      <c r="B14" s="446" t="n">
        <f aca="false">Assumptions!$N$13</f>
        <v>20</v>
      </c>
      <c r="C14" s="447"/>
      <c r="D14" s="447"/>
      <c r="E14" s="444" t="n">
        <f aca="false">1/Assumptions!$N$13*E8/12</f>
        <v>0.025</v>
      </c>
      <c r="F14" s="444" t="n">
        <f aca="false">IF(F6=Assumptions!$N$13,1/Assumptions!$N$13-Depreciation!$E$14,IF(F6&lt;Assumptions!$N$13,1/Assumptions!$N$13,0))</f>
        <v>0.05</v>
      </c>
      <c r="G14" s="444" t="n">
        <f aca="false">IF(G6=Assumptions!$N$13,1/Assumptions!$N$13-Depreciation!$E$14,IF(G6&lt;Assumptions!$N$13,1/Assumptions!$N$13,0))</f>
        <v>0.05</v>
      </c>
      <c r="H14" s="444" t="n">
        <f aca="false">IF(H6=Assumptions!$N$13,1/Assumptions!$N$13-Depreciation!$E$14,IF(H6&lt;Assumptions!$N$13,1/Assumptions!$N$13,0))</f>
        <v>0.05</v>
      </c>
      <c r="I14" s="444" t="n">
        <f aca="false">IF(I6=Assumptions!$N$13,1/Assumptions!$N$13-Depreciation!$E$14,IF(I6&lt;Assumptions!$N$13,1/Assumptions!$N$13,0))</f>
        <v>0.05</v>
      </c>
      <c r="J14" s="444" t="n">
        <f aca="false">IF(J6=Assumptions!$N$13,1/Assumptions!$N$13-Depreciation!$E$14,IF(J6&lt;Assumptions!$N$13,1/Assumptions!$N$13,0))</f>
        <v>0.05</v>
      </c>
      <c r="K14" s="444" t="n">
        <f aca="false">IF(K6=Assumptions!$N$13,1/Assumptions!$N$13-Depreciation!$E$14,IF(K6&lt;Assumptions!$N$13,1/Assumptions!$N$13,0))</f>
        <v>0.05</v>
      </c>
      <c r="L14" s="444" t="n">
        <f aca="false">IF(L6=Assumptions!$N$13,1/Assumptions!$N$13-Depreciation!$E$14,IF(L6&lt;Assumptions!$N$13,1/Assumptions!$N$13,0))</f>
        <v>0.05</v>
      </c>
      <c r="M14" s="444" t="n">
        <f aca="false">IF(M6=Assumptions!$N$13,1/Assumptions!$N$13-Depreciation!$E$14,IF(M6&lt;Assumptions!$N$13,1/Assumptions!$N$13,0))</f>
        <v>0.05</v>
      </c>
      <c r="N14" s="444" t="n">
        <f aca="false">IF(N6=Assumptions!$N$13,1/Assumptions!$N$13-Depreciation!$E$14,IF(N6&lt;Assumptions!$N$13,1/Assumptions!$N$13,0))</f>
        <v>0.05</v>
      </c>
      <c r="O14" s="444" t="n">
        <f aca="false">IF(O6=Assumptions!$N$13,1/Assumptions!$N$13-Depreciation!$E$14,IF(O6&lt;Assumptions!$N$13,1/Assumptions!$N$13,0))</f>
        <v>0.05</v>
      </c>
      <c r="P14" s="444" t="n">
        <f aca="false">IF(P6=Assumptions!$N$13,1/Assumptions!$N$13-Depreciation!$E$14,IF(P6&lt;Assumptions!$N$13,1/Assumptions!$N$13,0))</f>
        <v>0.05</v>
      </c>
      <c r="Q14" s="444" t="n">
        <f aca="false">IF(Q6=Assumptions!$N$13,1/Assumptions!$N$13-Depreciation!$E$14,IF(Q6&lt;Assumptions!$N$13,1/Assumptions!$N$13,0))</f>
        <v>0.05</v>
      </c>
      <c r="R14" s="444" t="n">
        <f aca="false">IF(R6=Assumptions!$N$13,1/Assumptions!$N$13-Depreciation!$E$14,IF(R6&lt;Assumptions!$N$13,1/Assumptions!$N$13,0))</f>
        <v>0.05</v>
      </c>
      <c r="S14" s="444" t="n">
        <f aca="false">IF(S6=Assumptions!$N$13,1/Assumptions!$N$13-Depreciation!$E$14,IF(S6&lt;Assumptions!$N$13,1/Assumptions!$N$13,0))</f>
        <v>0.05</v>
      </c>
      <c r="T14" s="444" t="n">
        <f aca="false">IF(T6=Assumptions!$N$13,1/Assumptions!$N$13-Depreciation!$E$14,IF(T6&lt;Assumptions!$N$13,1/Assumptions!$N$13,0))</f>
        <v>0.05</v>
      </c>
      <c r="U14" s="444" t="n">
        <f aca="false">IF(U6=Assumptions!$N$13,1/Assumptions!$N$13-Depreciation!$E$14,IF(U6&lt;Assumptions!$N$13,1/Assumptions!$N$13,0))</f>
        <v>0.05</v>
      </c>
      <c r="V14" s="444" t="n">
        <f aca="false">IF(V6=Assumptions!$N$13,1/Assumptions!$N$13-Depreciation!$E$14,IF(V6&lt;Assumptions!$N$13,1/Assumptions!$N$13,0))</f>
        <v>0.05</v>
      </c>
      <c r="W14" s="444" t="n">
        <f aca="false">IF(W6=Assumptions!$N$13,1/Assumptions!$N$13-Depreciation!$E$14,IF(W6&lt;Assumptions!$N$13,1/Assumptions!$N$13,0))</f>
        <v>0.05</v>
      </c>
      <c r="X14" s="444" t="n">
        <f aca="false">IF(X6=Assumptions!$N$13,1/Assumptions!$N$13-Depreciation!$E$14,IF(X6&lt;Assumptions!$N$13,1/Assumptions!$N$13,0))</f>
        <v>0.05</v>
      </c>
      <c r="Y14" s="444" t="n">
        <f aca="false">IF(Y6=Assumptions!$N$13,1/Assumptions!$N$13-Depreciation!$E$14,IF(Y6&lt;Assumptions!$N$13,1/Assumptions!$N$13,0))</f>
        <v>0</v>
      </c>
      <c r="Z14" s="444" t="n">
        <f aca="false">IF(Z6=Assumptions!$N$13,1/Assumptions!$N$13-Depreciation!$E$14,IF(Z6&lt;Assumptions!$N$13,1/Assumptions!$N$13,0))</f>
        <v>0</v>
      </c>
      <c r="AA14" s="386"/>
      <c r="AB14" s="0"/>
      <c r="AC14" s="0"/>
      <c r="AD14" s="448"/>
      <c r="AE14" s="448"/>
      <c r="AF14" s="448"/>
      <c r="AG14" s="448"/>
      <c r="AH14" s="448"/>
      <c r="AI14" s="448"/>
      <c r="AJ14" s="448"/>
      <c r="AK14" s="448"/>
      <c r="AL14" s="448"/>
      <c r="AM14" s="448"/>
      <c r="AN14" s="448"/>
      <c r="AO14" s="448"/>
      <c r="AP14" s="448"/>
      <c r="AQ14" s="448"/>
      <c r="AR14" s="448"/>
      <c r="AS14" s="448"/>
      <c r="AT14" s="448"/>
      <c r="AU14" s="448"/>
      <c r="AV14" s="448"/>
      <c r="AW14" s="448"/>
      <c r="AX14" s="448"/>
      <c r="AY14" s="448"/>
      <c r="AZ14" s="448"/>
      <c r="BA14" s="448"/>
      <c r="BB14" s="448"/>
      <c r="BC14" s="448"/>
      <c r="BD14" s="448"/>
      <c r="BE14" s="448"/>
      <c r="BF14" s="448"/>
      <c r="BG14" s="448"/>
      <c r="BH14" s="448"/>
      <c r="BI14" s="448"/>
      <c r="BJ14" s="448"/>
      <c r="BK14" s="448"/>
      <c r="BL14" s="448"/>
      <c r="BM14" s="448"/>
      <c r="BN14" s="448"/>
      <c r="BO14" s="448"/>
      <c r="BP14" s="448"/>
      <c r="BQ14" s="448"/>
      <c r="BR14" s="448"/>
      <c r="BS14" s="448"/>
      <c r="BT14" s="448"/>
      <c r="BU14" s="448"/>
      <c r="BV14" s="448"/>
      <c r="BW14" s="448"/>
      <c r="BX14" s="448"/>
      <c r="BY14" s="448"/>
      <c r="BZ14" s="448"/>
      <c r="CA14" s="448"/>
      <c r="CB14" s="448"/>
      <c r="CC14" s="448"/>
      <c r="CD14" s="448"/>
      <c r="CE14" s="448"/>
      <c r="CF14" s="448"/>
      <c r="CG14" s="448"/>
      <c r="CH14" s="448"/>
      <c r="CI14" s="448"/>
      <c r="CJ14" s="448"/>
      <c r="CK14" s="448"/>
      <c r="CL14" s="448"/>
      <c r="CM14" s="448"/>
      <c r="CN14" s="448"/>
      <c r="CO14" s="448"/>
      <c r="CP14" s="448"/>
      <c r="CQ14" s="448"/>
      <c r="CR14" s="448"/>
      <c r="CS14" s="448"/>
      <c r="CT14" s="448"/>
      <c r="CU14" s="448"/>
      <c r="CV14" s="448"/>
      <c r="CW14" s="448"/>
      <c r="CX14" s="448"/>
      <c r="CY14" s="448"/>
      <c r="CZ14" s="448"/>
      <c r="DA14" s="448"/>
      <c r="DB14" s="448"/>
      <c r="DC14" s="448"/>
      <c r="DD14" s="448"/>
      <c r="DE14" s="448"/>
      <c r="DF14" s="448"/>
      <c r="DG14" s="448"/>
      <c r="DH14" s="448"/>
      <c r="DI14" s="448"/>
      <c r="DJ14" s="448"/>
      <c r="DK14" s="448"/>
      <c r="DL14" s="448"/>
      <c r="DM14" s="448"/>
      <c r="DN14" s="448"/>
      <c r="DO14" s="448"/>
      <c r="DP14" s="448"/>
      <c r="DQ14" s="448"/>
      <c r="DR14" s="448"/>
      <c r="DS14" s="448"/>
      <c r="DT14" s="448"/>
      <c r="DU14" s="448"/>
      <c r="DV14" s="448"/>
      <c r="DW14" s="448"/>
      <c r="DX14" s="448"/>
      <c r="DY14" s="448"/>
      <c r="DZ14" s="448"/>
      <c r="EA14" s="448"/>
      <c r="EB14" s="448"/>
      <c r="EC14" s="448"/>
      <c r="ED14" s="448"/>
      <c r="EE14" s="448"/>
      <c r="EF14" s="448"/>
      <c r="EG14" s="448"/>
      <c r="EH14" s="448"/>
      <c r="EI14" s="448"/>
      <c r="EJ14" s="448"/>
      <c r="EK14" s="448"/>
      <c r="EL14" s="448"/>
      <c r="EM14" s="448"/>
      <c r="EN14" s="448"/>
      <c r="EO14" s="448"/>
      <c r="EP14" s="448"/>
      <c r="EQ14" s="448"/>
      <c r="ER14" s="448"/>
      <c r="ES14" s="448"/>
      <c r="ET14" s="448"/>
      <c r="EU14" s="448"/>
      <c r="EV14" s="448"/>
      <c r="EW14" s="448"/>
      <c r="EX14" s="448"/>
      <c r="EY14" s="448"/>
      <c r="EZ14" s="448"/>
      <c r="FA14" s="448"/>
      <c r="FB14" s="448"/>
      <c r="FC14" s="448"/>
      <c r="FD14" s="448"/>
      <c r="FE14" s="448"/>
      <c r="FF14" s="448"/>
      <c r="FG14" s="448"/>
      <c r="FH14" s="448"/>
      <c r="FI14" s="448"/>
      <c r="FJ14" s="448"/>
      <c r="FK14" s="448"/>
      <c r="FL14" s="448"/>
      <c r="FM14" s="448"/>
      <c r="FN14" s="448"/>
      <c r="FO14" s="448"/>
      <c r="FP14" s="448"/>
      <c r="FQ14" s="448"/>
      <c r="FR14" s="448"/>
      <c r="FS14" s="448"/>
      <c r="FT14" s="448"/>
      <c r="FU14" s="448"/>
      <c r="FV14" s="448"/>
      <c r="FW14" s="448"/>
      <c r="FX14" s="448"/>
      <c r="FY14" s="448"/>
      <c r="FZ14" s="448"/>
      <c r="GA14" s="448"/>
      <c r="GB14" s="448"/>
      <c r="GC14" s="448"/>
      <c r="GD14" s="448"/>
      <c r="GE14" s="448"/>
      <c r="GF14" s="448"/>
      <c r="GG14" s="448"/>
      <c r="GH14" s="448"/>
      <c r="GI14" s="448"/>
      <c r="GJ14" s="448"/>
      <c r="GK14" s="448"/>
      <c r="GL14" s="448"/>
      <c r="GM14" s="448"/>
      <c r="GN14" s="448"/>
      <c r="GO14" s="448"/>
      <c r="GP14" s="448"/>
      <c r="GQ14" s="448"/>
      <c r="GR14" s="448"/>
      <c r="GS14" s="448"/>
      <c r="GT14" s="448"/>
      <c r="GU14" s="448"/>
      <c r="GV14" s="448"/>
      <c r="GW14" s="448"/>
      <c r="GX14" s="448"/>
      <c r="GY14" s="448"/>
      <c r="GZ14" s="448"/>
      <c r="HA14" s="448"/>
      <c r="HB14" s="448"/>
      <c r="HC14" s="448"/>
      <c r="HD14" s="448"/>
      <c r="HE14" s="448"/>
      <c r="HF14" s="448"/>
      <c r="HG14" s="448"/>
      <c r="HH14" s="448"/>
      <c r="HI14" s="448"/>
      <c r="HJ14" s="448"/>
      <c r="HK14" s="448"/>
      <c r="HL14" s="448"/>
      <c r="HM14" s="448"/>
      <c r="HN14" s="448"/>
      <c r="HO14" s="448"/>
      <c r="HP14" s="448"/>
      <c r="HQ14" s="448"/>
      <c r="HR14" s="448"/>
      <c r="HS14" s="448"/>
      <c r="HT14" s="448"/>
      <c r="HU14" s="448"/>
      <c r="HV14" s="448"/>
      <c r="HW14" s="448"/>
      <c r="HX14" s="448"/>
      <c r="HY14" s="448"/>
      <c r="HZ14" s="448"/>
      <c r="IA14" s="448"/>
      <c r="IB14" s="448"/>
      <c r="IC14" s="448"/>
      <c r="ID14" s="448"/>
      <c r="IE14" s="448"/>
      <c r="IF14" s="448"/>
      <c r="IG14" s="448"/>
      <c r="IH14" s="448"/>
      <c r="II14" s="448"/>
      <c r="IJ14" s="448"/>
      <c r="IK14" s="448"/>
      <c r="IL14" s="448"/>
      <c r="IM14" s="448"/>
      <c r="IN14" s="448"/>
      <c r="IO14" s="448"/>
      <c r="IP14" s="448"/>
      <c r="IQ14" s="448"/>
      <c r="IR14" s="448"/>
      <c r="IS14" s="448"/>
      <c r="IT14" s="448"/>
      <c r="IU14" s="448"/>
      <c r="IV14" s="448"/>
      <c r="IW14" s="448"/>
    </row>
    <row r="15" customFormat="false" ht="12.75" hidden="false" customHeight="false" outlineLevel="0" collapsed="false">
      <c r="B15" s="449"/>
      <c r="E15" s="440"/>
      <c r="AB15" s="0"/>
      <c r="AC15" s="0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38"/>
      <c r="BH15" s="438"/>
      <c r="BI15" s="438"/>
      <c r="BJ15" s="438"/>
      <c r="BK15" s="438"/>
      <c r="BL15" s="438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438"/>
      <c r="CP15" s="438"/>
      <c r="CQ15" s="438"/>
      <c r="CR15" s="438"/>
      <c r="CS15" s="438"/>
      <c r="CT15" s="438"/>
      <c r="CU15" s="438"/>
      <c r="CV15" s="438"/>
      <c r="CW15" s="438"/>
      <c r="CX15" s="438"/>
      <c r="CY15" s="438"/>
      <c r="CZ15" s="438"/>
      <c r="DA15" s="438"/>
      <c r="DB15" s="438"/>
      <c r="DC15" s="438"/>
      <c r="DD15" s="438"/>
      <c r="DE15" s="438"/>
      <c r="DF15" s="438"/>
      <c r="DG15" s="438"/>
      <c r="DH15" s="438"/>
      <c r="DI15" s="438"/>
      <c r="DJ15" s="438"/>
      <c r="DK15" s="438"/>
      <c r="DL15" s="438"/>
      <c r="DM15" s="438"/>
      <c r="DN15" s="438"/>
      <c r="DO15" s="438"/>
      <c r="DP15" s="438"/>
      <c r="DQ15" s="438"/>
      <c r="DR15" s="438"/>
      <c r="DS15" s="438"/>
      <c r="DT15" s="438"/>
      <c r="DU15" s="438"/>
      <c r="DV15" s="438"/>
      <c r="DW15" s="438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8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8"/>
      <c r="FM15" s="438"/>
      <c r="FN15" s="438"/>
      <c r="FO15" s="438"/>
      <c r="FP15" s="438"/>
      <c r="FQ15" s="438"/>
      <c r="FR15" s="438"/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438"/>
      <c r="GE15" s="438"/>
      <c r="GF15" s="438"/>
      <c r="GG15" s="438"/>
      <c r="GH15" s="438"/>
      <c r="GI15" s="438"/>
      <c r="GJ15" s="438"/>
      <c r="GK15" s="438"/>
      <c r="GL15" s="438"/>
      <c r="GM15" s="438"/>
      <c r="GN15" s="438"/>
      <c r="GO15" s="438"/>
      <c r="GP15" s="438"/>
      <c r="GQ15" s="438"/>
      <c r="GR15" s="438"/>
      <c r="GS15" s="438"/>
      <c r="GT15" s="438"/>
      <c r="GU15" s="438"/>
      <c r="GV15" s="438"/>
      <c r="GW15" s="438"/>
      <c r="GX15" s="438"/>
      <c r="GY15" s="438"/>
      <c r="GZ15" s="438"/>
      <c r="HA15" s="438"/>
      <c r="HB15" s="438"/>
      <c r="HC15" s="438"/>
      <c r="HD15" s="438"/>
      <c r="HE15" s="438"/>
      <c r="HF15" s="438"/>
      <c r="HG15" s="438"/>
      <c r="HH15" s="438"/>
      <c r="HI15" s="438"/>
      <c r="HJ15" s="438"/>
      <c r="HK15" s="438"/>
      <c r="HL15" s="438"/>
      <c r="HM15" s="438"/>
      <c r="HN15" s="438"/>
      <c r="HO15" s="438"/>
      <c r="HP15" s="438"/>
      <c r="HQ15" s="438"/>
      <c r="HR15" s="438"/>
      <c r="HS15" s="438"/>
      <c r="HT15" s="438"/>
      <c r="HU15" s="438"/>
      <c r="HV15" s="438"/>
      <c r="HW15" s="438"/>
      <c r="HX15" s="438"/>
      <c r="HY15" s="438"/>
      <c r="HZ15" s="438"/>
      <c r="IA15" s="438"/>
      <c r="IB15" s="438"/>
      <c r="IC15" s="438"/>
      <c r="ID15" s="438"/>
      <c r="IE15" s="438"/>
      <c r="IF15" s="438"/>
      <c r="IG15" s="438"/>
      <c r="IH15" s="438"/>
      <c r="II15" s="438"/>
      <c r="IJ15" s="438"/>
      <c r="IK15" s="438"/>
      <c r="IL15" s="438"/>
      <c r="IM15" s="438"/>
      <c r="IN15" s="438"/>
      <c r="IO15" s="438"/>
      <c r="IP15" s="438"/>
      <c r="IQ15" s="438"/>
      <c r="IR15" s="438"/>
      <c r="IS15" s="438"/>
      <c r="IT15" s="438"/>
      <c r="IU15" s="438"/>
      <c r="IV15" s="438"/>
      <c r="IW15" s="438"/>
    </row>
    <row r="16" customFormat="false" ht="12.75" hidden="false" customHeight="false" outlineLevel="0" collapsed="false">
      <c r="A16" s="441" t="s">
        <v>333</v>
      </c>
      <c r="B16" s="450" t="n">
        <f aca="false">Assumptions!D43-Assumptions!D39-Assumptions!D40</f>
        <v>99618</v>
      </c>
      <c r="C16" s="451"/>
      <c r="D16" s="451"/>
      <c r="E16" s="450" t="n">
        <f aca="false">$B$16*E13</f>
        <v>4980.9</v>
      </c>
      <c r="F16" s="450" t="n">
        <f aca="false">$B$16*F13</f>
        <v>9463.71</v>
      </c>
      <c r="G16" s="450" t="n">
        <f aca="false">$B$16*G13</f>
        <v>8517.339</v>
      </c>
      <c r="H16" s="450" t="n">
        <f aca="false">$B$16*H13</f>
        <v>7670.586</v>
      </c>
      <c r="I16" s="450" t="n">
        <f aca="false">$B$16*I13</f>
        <v>6903.5274</v>
      </c>
      <c r="J16" s="450" t="n">
        <f aca="false">$B$16*J13</f>
        <v>6206.2014</v>
      </c>
      <c r="K16" s="450" t="n">
        <f aca="false">$B$16*K13</f>
        <v>5877.462</v>
      </c>
      <c r="L16" s="450" t="n">
        <f aca="false">$B$16*L13</f>
        <v>5887.4238</v>
      </c>
      <c r="M16" s="450" t="n">
        <f aca="false">$B$16*M13</f>
        <v>5877.462</v>
      </c>
      <c r="N16" s="450" t="n">
        <f aca="false">$B$16*N13</f>
        <v>5887.4238</v>
      </c>
      <c r="O16" s="450" t="n">
        <f aca="false">$B$16*O13</f>
        <v>5877.462</v>
      </c>
      <c r="P16" s="450" t="n">
        <f aca="false">$B$16*P13</f>
        <v>5887.4238</v>
      </c>
      <c r="Q16" s="450" t="n">
        <f aca="false">$B$16*Q13</f>
        <v>5877.462</v>
      </c>
      <c r="R16" s="450" t="n">
        <f aca="false">$B$16*R13</f>
        <v>5887.4238</v>
      </c>
      <c r="S16" s="450" t="n">
        <f aca="false">$B$16*S13</f>
        <v>5877.462</v>
      </c>
      <c r="T16" s="450" t="n">
        <f aca="false">$B$16*T13</f>
        <v>2938.731</v>
      </c>
      <c r="U16" s="450" t="n">
        <f aca="false">$B$16*U13</f>
        <v>0</v>
      </c>
      <c r="V16" s="450" t="n">
        <f aca="false">$B$16*V13</f>
        <v>0</v>
      </c>
      <c r="W16" s="450" t="n">
        <f aca="false">$B$16*W13</f>
        <v>0</v>
      </c>
      <c r="X16" s="450" t="n">
        <f aca="false">$B$16*X13</f>
        <v>0</v>
      </c>
      <c r="Y16" s="450" t="n">
        <f aca="false">$B$16*Y13</f>
        <v>0</v>
      </c>
      <c r="Z16" s="450" t="n">
        <f aca="false">$B$16*Z13</f>
        <v>0</v>
      </c>
      <c r="AA16" s="450"/>
      <c r="AB16" s="0"/>
      <c r="AC16" s="0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8"/>
      <c r="BF16" s="438"/>
      <c r="BG16" s="438"/>
      <c r="BH16" s="438"/>
      <c r="BI16" s="438"/>
      <c r="BJ16" s="438"/>
      <c r="BK16" s="438"/>
      <c r="BL16" s="438"/>
      <c r="BM16" s="438"/>
      <c r="BN16" s="438"/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  <c r="CA16" s="438"/>
      <c r="CB16" s="438"/>
      <c r="CC16" s="438"/>
      <c r="CD16" s="438"/>
      <c r="CE16" s="438"/>
      <c r="CF16" s="438"/>
      <c r="CG16" s="438"/>
      <c r="CH16" s="438"/>
      <c r="CI16" s="438"/>
      <c r="CJ16" s="438"/>
      <c r="CK16" s="438"/>
      <c r="CL16" s="438"/>
      <c r="CM16" s="438"/>
      <c r="CN16" s="438"/>
      <c r="CO16" s="438"/>
      <c r="CP16" s="438"/>
      <c r="CQ16" s="438"/>
      <c r="CR16" s="438"/>
      <c r="CS16" s="438"/>
      <c r="CT16" s="438"/>
      <c r="CU16" s="438"/>
      <c r="CV16" s="438"/>
      <c r="CW16" s="438"/>
      <c r="CX16" s="438"/>
      <c r="CY16" s="438"/>
      <c r="CZ16" s="438"/>
      <c r="DA16" s="438"/>
      <c r="DB16" s="438"/>
      <c r="DC16" s="438"/>
      <c r="DD16" s="438"/>
      <c r="DE16" s="438"/>
      <c r="DF16" s="438"/>
      <c r="DG16" s="438"/>
      <c r="DH16" s="438"/>
      <c r="DI16" s="438"/>
      <c r="DJ16" s="438"/>
      <c r="DK16" s="438"/>
      <c r="DL16" s="438"/>
      <c r="DM16" s="438"/>
      <c r="DN16" s="438"/>
      <c r="DO16" s="438"/>
      <c r="DP16" s="438"/>
      <c r="DQ16" s="438"/>
      <c r="DR16" s="438"/>
      <c r="DS16" s="438"/>
      <c r="DT16" s="438"/>
      <c r="DU16" s="438"/>
      <c r="DV16" s="438"/>
      <c r="DW16" s="438"/>
      <c r="DX16" s="438"/>
      <c r="DY16" s="438"/>
      <c r="DZ16" s="438"/>
      <c r="EA16" s="438"/>
      <c r="EB16" s="438"/>
      <c r="EC16" s="438"/>
      <c r="ED16" s="438"/>
      <c r="EE16" s="438"/>
      <c r="EF16" s="438"/>
      <c r="EG16" s="438"/>
      <c r="EH16" s="438"/>
      <c r="EI16" s="438"/>
      <c r="EJ16" s="438"/>
      <c r="EK16" s="438"/>
      <c r="EL16" s="438"/>
      <c r="EM16" s="438"/>
      <c r="EN16" s="438"/>
      <c r="EO16" s="438"/>
      <c r="EP16" s="438"/>
      <c r="EQ16" s="438"/>
      <c r="ER16" s="438"/>
      <c r="ES16" s="438"/>
      <c r="ET16" s="438"/>
      <c r="EU16" s="438"/>
      <c r="EV16" s="438"/>
      <c r="EW16" s="438"/>
      <c r="EX16" s="438"/>
      <c r="EY16" s="438"/>
      <c r="EZ16" s="438"/>
      <c r="FA16" s="438"/>
      <c r="FB16" s="438"/>
      <c r="FC16" s="438"/>
      <c r="FD16" s="438"/>
      <c r="FE16" s="438"/>
      <c r="FF16" s="438"/>
      <c r="FG16" s="438"/>
      <c r="FH16" s="438"/>
      <c r="FI16" s="438"/>
      <c r="FJ16" s="438"/>
      <c r="FK16" s="438"/>
      <c r="FL16" s="438"/>
      <c r="FM16" s="438"/>
      <c r="FN16" s="438"/>
      <c r="FO16" s="438"/>
      <c r="FP16" s="438"/>
      <c r="FQ16" s="438"/>
      <c r="FR16" s="438"/>
      <c r="FS16" s="438"/>
      <c r="FT16" s="438"/>
      <c r="FU16" s="438"/>
      <c r="FV16" s="438"/>
      <c r="FW16" s="438"/>
      <c r="FX16" s="438"/>
      <c r="FY16" s="438"/>
      <c r="FZ16" s="438"/>
      <c r="GA16" s="438"/>
      <c r="GB16" s="438"/>
      <c r="GC16" s="438"/>
      <c r="GD16" s="438"/>
      <c r="GE16" s="438"/>
      <c r="GF16" s="438"/>
      <c r="GG16" s="438"/>
      <c r="GH16" s="438"/>
      <c r="GI16" s="438"/>
      <c r="GJ16" s="438"/>
      <c r="GK16" s="438"/>
      <c r="GL16" s="438"/>
      <c r="GM16" s="438"/>
      <c r="GN16" s="438"/>
      <c r="GO16" s="438"/>
      <c r="GP16" s="438"/>
      <c r="GQ16" s="438"/>
      <c r="GR16" s="438"/>
      <c r="GS16" s="438"/>
      <c r="GT16" s="438"/>
      <c r="GU16" s="438"/>
      <c r="GV16" s="438"/>
      <c r="GW16" s="438"/>
      <c r="GX16" s="438"/>
      <c r="GY16" s="438"/>
      <c r="GZ16" s="438"/>
      <c r="HA16" s="438"/>
      <c r="HB16" s="438"/>
      <c r="HC16" s="438"/>
      <c r="HD16" s="438"/>
      <c r="HE16" s="438"/>
      <c r="HF16" s="438"/>
      <c r="HG16" s="438"/>
      <c r="HH16" s="438"/>
      <c r="HI16" s="438"/>
      <c r="HJ16" s="438"/>
      <c r="HK16" s="438"/>
      <c r="HL16" s="438"/>
      <c r="HM16" s="438"/>
      <c r="HN16" s="438"/>
      <c r="HO16" s="438"/>
      <c r="HP16" s="438"/>
      <c r="HQ16" s="438"/>
      <c r="HR16" s="438"/>
      <c r="HS16" s="438"/>
      <c r="HT16" s="438"/>
      <c r="HU16" s="438"/>
      <c r="HV16" s="438"/>
      <c r="HW16" s="438"/>
      <c r="HX16" s="438"/>
      <c r="HY16" s="438"/>
      <c r="HZ16" s="438"/>
      <c r="IA16" s="438"/>
      <c r="IB16" s="438"/>
      <c r="IC16" s="438"/>
      <c r="ID16" s="438"/>
      <c r="IE16" s="438"/>
      <c r="IF16" s="438"/>
      <c r="IG16" s="438"/>
      <c r="IH16" s="438"/>
      <c r="II16" s="438"/>
      <c r="IJ16" s="438"/>
      <c r="IK16" s="438"/>
      <c r="IL16" s="438"/>
      <c r="IM16" s="438"/>
      <c r="IN16" s="438"/>
      <c r="IO16" s="438"/>
      <c r="IP16" s="438"/>
      <c r="IQ16" s="438"/>
      <c r="IR16" s="438"/>
      <c r="IS16" s="438"/>
      <c r="IT16" s="438"/>
      <c r="IU16" s="438"/>
      <c r="IV16" s="438"/>
      <c r="IW16" s="438"/>
    </row>
    <row r="17" customFormat="false" ht="15" hidden="false" customHeight="false" outlineLevel="0" collapsed="false">
      <c r="A17" s="445" t="s">
        <v>332</v>
      </c>
      <c r="B17" s="452" t="n">
        <f aca="false">SUM(Assumptions!D34:D36)</f>
        <v>0</v>
      </c>
      <c r="C17" s="451"/>
      <c r="D17" s="451"/>
      <c r="E17" s="452" t="n">
        <f aca="false">$B$17*E14</f>
        <v>0</v>
      </c>
      <c r="F17" s="452" t="n">
        <f aca="false">$B$17*F14</f>
        <v>0</v>
      </c>
      <c r="G17" s="452" t="n">
        <f aca="false">$B$17*G14</f>
        <v>0</v>
      </c>
      <c r="H17" s="452" t="n">
        <f aca="false">$B$17*H14</f>
        <v>0</v>
      </c>
      <c r="I17" s="452" t="n">
        <f aca="false">$B$17*I14</f>
        <v>0</v>
      </c>
      <c r="J17" s="452" t="n">
        <f aca="false">$B$17*J14</f>
        <v>0</v>
      </c>
      <c r="K17" s="452" t="n">
        <f aca="false">$B$17*K14</f>
        <v>0</v>
      </c>
      <c r="L17" s="452" t="n">
        <f aca="false">$B$17*L14</f>
        <v>0</v>
      </c>
      <c r="M17" s="452" t="n">
        <f aca="false">$B$17*M14</f>
        <v>0</v>
      </c>
      <c r="N17" s="452" t="n">
        <f aca="false">$B$17*N14</f>
        <v>0</v>
      </c>
      <c r="O17" s="452" t="n">
        <f aca="false">$B$17*O14</f>
        <v>0</v>
      </c>
      <c r="P17" s="452" t="n">
        <f aca="false">$B$17*P14</f>
        <v>0</v>
      </c>
      <c r="Q17" s="452" t="n">
        <f aca="false">$B$17*Q14</f>
        <v>0</v>
      </c>
      <c r="R17" s="452" t="n">
        <f aca="false">$B$17*R14</f>
        <v>0</v>
      </c>
      <c r="S17" s="452" t="n">
        <f aca="false">$B$17*S14</f>
        <v>0</v>
      </c>
      <c r="T17" s="452" t="n">
        <f aca="false">$B$17*T14</f>
        <v>0</v>
      </c>
      <c r="U17" s="452" t="n">
        <f aca="false">$B$17*U14</f>
        <v>0</v>
      </c>
      <c r="V17" s="452" t="n">
        <f aca="false">$B$17*V14</f>
        <v>0</v>
      </c>
      <c r="W17" s="452" t="n">
        <f aca="false">$B$17*W14</f>
        <v>0</v>
      </c>
      <c r="X17" s="452" t="n">
        <f aca="false">$B$17*X14</f>
        <v>0</v>
      </c>
      <c r="Y17" s="452" t="n">
        <f aca="false">$B$17*Y14</f>
        <v>0</v>
      </c>
      <c r="Z17" s="452" t="n">
        <f aca="false">$B$17*Z14</f>
        <v>0</v>
      </c>
      <c r="AA17" s="452"/>
      <c r="AB17" s="0"/>
      <c r="AC17" s="0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8"/>
      <c r="AW17" s="438"/>
      <c r="AX17" s="438"/>
      <c r="AY17" s="438"/>
      <c r="AZ17" s="438"/>
      <c r="BA17" s="438"/>
      <c r="BB17" s="438"/>
      <c r="BC17" s="438"/>
      <c r="BD17" s="438"/>
      <c r="BE17" s="438"/>
      <c r="BF17" s="438"/>
      <c r="BG17" s="438"/>
      <c r="BH17" s="438"/>
      <c r="BI17" s="438"/>
      <c r="BJ17" s="438"/>
      <c r="BK17" s="438"/>
      <c r="BL17" s="438"/>
      <c r="BM17" s="438"/>
      <c r="BN17" s="438"/>
      <c r="BO17" s="438"/>
      <c r="BP17" s="438"/>
      <c r="BQ17" s="438"/>
      <c r="BR17" s="438"/>
      <c r="BS17" s="438"/>
      <c r="BT17" s="438"/>
      <c r="BU17" s="438"/>
      <c r="BV17" s="438"/>
      <c r="BW17" s="438"/>
      <c r="BX17" s="438"/>
      <c r="BY17" s="438"/>
      <c r="BZ17" s="438"/>
      <c r="CA17" s="438"/>
      <c r="CB17" s="438"/>
      <c r="CC17" s="438"/>
      <c r="CD17" s="438"/>
      <c r="CE17" s="438"/>
      <c r="CF17" s="438"/>
      <c r="CG17" s="438"/>
      <c r="CH17" s="438"/>
      <c r="CI17" s="438"/>
      <c r="CJ17" s="438"/>
      <c r="CK17" s="438"/>
      <c r="CL17" s="438"/>
      <c r="CM17" s="438"/>
      <c r="CN17" s="438"/>
      <c r="CO17" s="438"/>
      <c r="CP17" s="438"/>
      <c r="CQ17" s="438"/>
      <c r="CR17" s="438"/>
      <c r="CS17" s="438"/>
      <c r="CT17" s="438"/>
      <c r="CU17" s="438"/>
      <c r="CV17" s="438"/>
      <c r="CW17" s="438"/>
      <c r="CX17" s="438"/>
      <c r="CY17" s="438"/>
      <c r="CZ17" s="438"/>
      <c r="DA17" s="438"/>
      <c r="DB17" s="438"/>
      <c r="DC17" s="438"/>
      <c r="DD17" s="438"/>
      <c r="DE17" s="438"/>
      <c r="DF17" s="438"/>
      <c r="DG17" s="438"/>
      <c r="DH17" s="438"/>
      <c r="DI17" s="438"/>
      <c r="DJ17" s="438"/>
      <c r="DK17" s="438"/>
      <c r="DL17" s="438"/>
      <c r="DM17" s="438"/>
      <c r="DN17" s="438"/>
      <c r="DO17" s="438"/>
      <c r="DP17" s="438"/>
      <c r="DQ17" s="438"/>
      <c r="DR17" s="438"/>
      <c r="DS17" s="438"/>
      <c r="DT17" s="438"/>
      <c r="DU17" s="438"/>
      <c r="DV17" s="438"/>
      <c r="DW17" s="438"/>
      <c r="DX17" s="438"/>
      <c r="DY17" s="438"/>
      <c r="DZ17" s="438"/>
      <c r="EA17" s="438"/>
      <c r="EB17" s="438"/>
      <c r="EC17" s="438"/>
      <c r="ED17" s="438"/>
      <c r="EE17" s="438"/>
      <c r="EF17" s="438"/>
      <c r="EG17" s="438"/>
      <c r="EH17" s="438"/>
      <c r="EI17" s="438"/>
      <c r="EJ17" s="438"/>
      <c r="EK17" s="438"/>
      <c r="EL17" s="438"/>
      <c r="EM17" s="438"/>
      <c r="EN17" s="438"/>
      <c r="EO17" s="438"/>
      <c r="EP17" s="438"/>
      <c r="EQ17" s="438"/>
      <c r="ER17" s="438"/>
      <c r="ES17" s="438"/>
      <c r="ET17" s="438"/>
      <c r="EU17" s="438"/>
      <c r="EV17" s="438"/>
      <c r="EW17" s="438"/>
      <c r="EX17" s="438"/>
      <c r="EY17" s="438"/>
      <c r="EZ17" s="438"/>
      <c r="FA17" s="438"/>
      <c r="FB17" s="438"/>
      <c r="FC17" s="438"/>
      <c r="FD17" s="438"/>
      <c r="FE17" s="438"/>
      <c r="FF17" s="438"/>
      <c r="FG17" s="438"/>
      <c r="FH17" s="438"/>
      <c r="FI17" s="438"/>
      <c r="FJ17" s="438"/>
      <c r="FK17" s="438"/>
      <c r="FL17" s="438"/>
      <c r="FM17" s="438"/>
      <c r="FN17" s="438"/>
      <c r="FO17" s="438"/>
      <c r="FP17" s="438"/>
      <c r="FQ17" s="438"/>
      <c r="FR17" s="438"/>
      <c r="FS17" s="438"/>
      <c r="FT17" s="438"/>
      <c r="FU17" s="438"/>
      <c r="FV17" s="438"/>
      <c r="FW17" s="438"/>
      <c r="FX17" s="438"/>
      <c r="FY17" s="438"/>
      <c r="FZ17" s="438"/>
      <c r="GA17" s="438"/>
      <c r="GB17" s="438"/>
      <c r="GC17" s="438"/>
      <c r="GD17" s="438"/>
      <c r="GE17" s="438"/>
      <c r="GF17" s="438"/>
      <c r="GG17" s="438"/>
      <c r="GH17" s="438"/>
      <c r="GI17" s="438"/>
      <c r="GJ17" s="438"/>
      <c r="GK17" s="438"/>
      <c r="GL17" s="438"/>
      <c r="GM17" s="438"/>
      <c r="GN17" s="438"/>
      <c r="GO17" s="438"/>
      <c r="GP17" s="438"/>
      <c r="GQ17" s="438"/>
      <c r="GR17" s="438"/>
      <c r="GS17" s="438"/>
      <c r="GT17" s="438"/>
      <c r="GU17" s="438"/>
      <c r="GV17" s="438"/>
      <c r="GW17" s="438"/>
      <c r="GX17" s="438"/>
      <c r="GY17" s="438"/>
      <c r="GZ17" s="438"/>
      <c r="HA17" s="438"/>
      <c r="HB17" s="438"/>
      <c r="HC17" s="438"/>
      <c r="HD17" s="438"/>
      <c r="HE17" s="438"/>
      <c r="HF17" s="438"/>
      <c r="HG17" s="438"/>
      <c r="HH17" s="438"/>
      <c r="HI17" s="438"/>
      <c r="HJ17" s="438"/>
      <c r="HK17" s="438"/>
      <c r="HL17" s="438"/>
      <c r="HM17" s="438"/>
      <c r="HN17" s="438"/>
      <c r="HO17" s="438"/>
      <c r="HP17" s="438"/>
      <c r="HQ17" s="438"/>
      <c r="HR17" s="438"/>
      <c r="HS17" s="438"/>
      <c r="HT17" s="438"/>
      <c r="HU17" s="438"/>
      <c r="HV17" s="438"/>
      <c r="HW17" s="438"/>
      <c r="HX17" s="438"/>
      <c r="HY17" s="438"/>
      <c r="HZ17" s="438"/>
      <c r="IA17" s="438"/>
      <c r="IB17" s="438"/>
      <c r="IC17" s="438"/>
      <c r="ID17" s="438"/>
      <c r="IE17" s="438"/>
      <c r="IF17" s="438"/>
      <c r="IG17" s="438"/>
      <c r="IH17" s="438"/>
      <c r="II17" s="438"/>
      <c r="IJ17" s="438"/>
      <c r="IK17" s="438"/>
      <c r="IL17" s="438"/>
      <c r="IM17" s="438"/>
      <c r="IN17" s="438"/>
      <c r="IO17" s="438"/>
      <c r="IP17" s="438"/>
      <c r="IQ17" s="438"/>
      <c r="IR17" s="438"/>
      <c r="IS17" s="438"/>
      <c r="IT17" s="438"/>
      <c r="IU17" s="438"/>
      <c r="IV17" s="438"/>
      <c r="IW17" s="438"/>
    </row>
    <row r="18" customFormat="false" ht="12.75" hidden="false" customHeight="false" outlineLevel="0" collapsed="false">
      <c r="A18" s="445" t="s">
        <v>334</v>
      </c>
      <c r="B18" s="450" t="n">
        <f aca="false">SUM(B16:B17)</f>
        <v>99618</v>
      </c>
      <c r="C18" s="453"/>
      <c r="D18" s="451"/>
      <c r="E18" s="450" t="n">
        <f aca="false">SUM(E16:E17)</f>
        <v>4980.9</v>
      </c>
      <c r="F18" s="450" t="n">
        <f aca="false">SUM(F16:F17)</f>
        <v>9463.71</v>
      </c>
      <c r="G18" s="450" t="n">
        <f aca="false">SUM(G16:G17)</f>
        <v>8517.339</v>
      </c>
      <c r="H18" s="450" t="n">
        <f aca="false">SUM(H16:H17)</f>
        <v>7670.586</v>
      </c>
      <c r="I18" s="450" t="n">
        <f aca="false">SUM(I16:I17)</f>
        <v>6903.5274</v>
      </c>
      <c r="J18" s="450" t="n">
        <f aca="false">SUM(J16:J17)</f>
        <v>6206.2014</v>
      </c>
      <c r="K18" s="450" t="n">
        <f aca="false">SUM(K16:K17)</f>
        <v>5877.462</v>
      </c>
      <c r="L18" s="450" t="n">
        <f aca="false">SUM(L16:L17)</f>
        <v>5887.4238</v>
      </c>
      <c r="M18" s="450" t="n">
        <f aca="false">SUM(M16:M17)</f>
        <v>5877.462</v>
      </c>
      <c r="N18" s="450" t="n">
        <f aca="false">SUM(N16:N17)</f>
        <v>5887.4238</v>
      </c>
      <c r="O18" s="450" t="n">
        <f aca="false">SUM(O16:O17)</f>
        <v>5877.462</v>
      </c>
      <c r="P18" s="450" t="n">
        <f aca="false">SUM(P16:P17)</f>
        <v>5887.4238</v>
      </c>
      <c r="Q18" s="450" t="n">
        <f aca="false">SUM(Q16:Q17)</f>
        <v>5877.462</v>
      </c>
      <c r="R18" s="450" t="n">
        <f aca="false">SUM(R16:R17)</f>
        <v>5887.4238</v>
      </c>
      <c r="S18" s="450" t="n">
        <f aca="false">SUM(S16:S17)</f>
        <v>5877.462</v>
      </c>
      <c r="T18" s="450" t="n">
        <f aca="false">SUM(T16:T17)</f>
        <v>2938.731</v>
      </c>
      <c r="U18" s="450" t="n">
        <f aca="false">SUM(U16:U17)</f>
        <v>0</v>
      </c>
      <c r="V18" s="450" t="n">
        <f aca="false">SUM(V16:V17)</f>
        <v>0</v>
      </c>
      <c r="W18" s="450" t="n">
        <f aca="false">SUM(W16:W17)</f>
        <v>0</v>
      </c>
      <c r="X18" s="450" t="n">
        <f aca="false">SUM(X16:X17)</f>
        <v>0</v>
      </c>
      <c r="Y18" s="450" t="n">
        <f aca="false">SUM(Y16:Y17)</f>
        <v>0</v>
      </c>
      <c r="Z18" s="450" t="n">
        <f aca="false">SUM(Z16:Z17)</f>
        <v>0</v>
      </c>
      <c r="AA18" s="450"/>
      <c r="AB18" s="0"/>
      <c r="AC18" s="0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  <c r="AP18" s="438"/>
      <c r="AQ18" s="438"/>
      <c r="AR18" s="438"/>
      <c r="AS18" s="438"/>
      <c r="AT18" s="438"/>
      <c r="AU18" s="438"/>
      <c r="AV18" s="438"/>
      <c r="AW18" s="438"/>
      <c r="AX18" s="438"/>
      <c r="AY18" s="438"/>
      <c r="AZ18" s="438"/>
      <c r="BA18" s="438"/>
      <c r="BB18" s="438"/>
      <c r="BC18" s="438"/>
      <c r="BD18" s="438"/>
      <c r="BE18" s="438"/>
      <c r="BF18" s="438"/>
      <c r="BG18" s="438"/>
      <c r="BH18" s="438"/>
      <c r="BI18" s="438"/>
      <c r="BJ18" s="438"/>
      <c r="BK18" s="438"/>
      <c r="BL18" s="438"/>
      <c r="BM18" s="438"/>
      <c r="BN18" s="438"/>
      <c r="BO18" s="438"/>
      <c r="BP18" s="438"/>
      <c r="BQ18" s="438"/>
      <c r="BR18" s="438"/>
      <c r="BS18" s="438"/>
      <c r="BT18" s="438"/>
      <c r="BU18" s="438"/>
      <c r="BV18" s="438"/>
      <c r="BW18" s="438"/>
      <c r="BX18" s="438"/>
      <c r="BY18" s="438"/>
      <c r="BZ18" s="438"/>
      <c r="CA18" s="438"/>
      <c r="CB18" s="438"/>
      <c r="CC18" s="438"/>
      <c r="CD18" s="438"/>
      <c r="CE18" s="438"/>
      <c r="CF18" s="438"/>
      <c r="CG18" s="438"/>
      <c r="CH18" s="438"/>
      <c r="CI18" s="438"/>
      <c r="CJ18" s="438"/>
      <c r="CK18" s="438"/>
      <c r="CL18" s="438"/>
      <c r="CM18" s="438"/>
      <c r="CN18" s="438"/>
      <c r="CO18" s="438"/>
      <c r="CP18" s="438"/>
      <c r="CQ18" s="438"/>
      <c r="CR18" s="438"/>
      <c r="CS18" s="438"/>
      <c r="CT18" s="438"/>
      <c r="CU18" s="438"/>
      <c r="CV18" s="438"/>
      <c r="CW18" s="438"/>
      <c r="CX18" s="438"/>
      <c r="CY18" s="438"/>
      <c r="CZ18" s="438"/>
      <c r="DA18" s="438"/>
      <c r="DB18" s="438"/>
      <c r="DC18" s="438"/>
      <c r="DD18" s="438"/>
      <c r="DE18" s="438"/>
      <c r="DF18" s="438"/>
      <c r="DG18" s="438"/>
      <c r="DH18" s="438"/>
      <c r="DI18" s="438"/>
      <c r="DJ18" s="438"/>
      <c r="DK18" s="438"/>
      <c r="DL18" s="438"/>
      <c r="DM18" s="438"/>
      <c r="DN18" s="438"/>
      <c r="DO18" s="438"/>
      <c r="DP18" s="438"/>
      <c r="DQ18" s="438"/>
      <c r="DR18" s="438"/>
      <c r="DS18" s="438"/>
      <c r="DT18" s="438"/>
      <c r="DU18" s="438"/>
      <c r="DV18" s="438"/>
      <c r="DW18" s="438"/>
      <c r="DX18" s="438"/>
      <c r="DY18" s="438"/>
      <c r="DZ18" s="438"/>
      <c r="EA18" s="438"/>
      <c r="EB18" s="438"/>
      <c r="EC18" s="438"/>
      <c r="ED18" s="438"/>
      <c r="EE18" s="438"/>
      <c r="EF18" s="438"/>
      <c r="EG18" s="438"/>
      <c r="EH18" s="438"/>
      <c r="EI18" s="438"/>
      <c r="EJ18" s="438"/>
      <c r="EK18" s="438"/>
      <c r="EL18" s="438"/>
      <c r="EM18" s="438"/>
      <c r="EN18" s="438"/>
      <c r="EO18" s="438"/>
      <c r="EP18" s="438"/>
      <c r="EQ18" s="438"/>
      <c r="ER18" s="438"/>
      <c r="ES18" s="438"/>
      <c r="ET18" s="438"/>
      <c r="EU18" s="438"/>
      <c r="EV18" s="438"/>
      <c r="EW18" s="438"/>
      <c r="EX18" s="438"/>
      <c r="EY18" s="438"/>
      <c r="EZ18" s="438"/>
      <c r="FA18" s="438"/>
      <c r="FB18" s="438"/>
      <c r="FC18" s="438"/>
      <c r="FD18" s="438"/>
      <c r="FE18" s="438"/>
      <c r="FF18" s="438"/>
      <c r="FG18" s="438"/>
      <c r="FH18" s="438"/>
      <c r="FI18" s="438"/>
      <c r="FJ18" s="438"/>
      <c r="FK18" s="438"/>
      <c r="FL18" s="438"/>
      <c r="FM18" s="438"/>
      <c r="FN18" s="438"/>
      <c r="FO18" s="438"/>
      <c r="FP18" s="438"/>
      <c r="FQ18" s="438"/>
      <c r="FR18" s="438"/>
      <c r="FS18" s="438"/>
      <c r="FT18" s="438"/>
      <c r="FU18" s="438"/>
      <c r="FV18" s="438"/>
      <c r="FW18" s="438"/>
      <c r="FX18" s="438"/>
      <c r="FY18" s="438"/>
      <c r="FZ18" s="438"/>
      <c r="GA18" s="438"/>
      <c r="GB18" s="438"/>
      <c r="GC18" s="438"/>
      <c r="GD18" s="438"/>
      <c r="GE18" s="438"/>
      <c r="GF18" s="438"/>
      <c r="GG18" s="438"/>
      <c r="GH18" s="438"/>
      <c r="GI18" s="438"/>
      <c r="GJ18" s="438"/>
      <c r="GK18" s="438"/>
      <c r="GL18" s="438"/>
      <c r="GM18" s="438"/>
      <c r="GN18" s="438"/>
      <c r="GO18" s="438"/>
      <c r="GP18" s="438"/>
      <c r="GQ18" s="438"/>
      <c r="GR18" s="438"/>
      <c r="GS18" s="438"/>
      <c r="GT18" s="438"/>
      <c r="GU18" s="438"/>
      <c r="GV18" s="438"/>
      <c r="GW18" s="438"/>
      <c r="GX18" s="438"/>
      <c r="GY18" s="438"/>
      <c r="GZ18" s="438"/>
      <c r="HA18" s="438"/>
      <c r="HB18" s="438"/>
      <c r="HC18" s="438"/>
      <c r="HD18" s="438"/>
      <c r="HE18" s="438"/>
      <c r="HF18" s="438"/>
      <c r="HG18" s="438"/>
      <c r="HH18" s="438"/>
      <c r="HI18" s="438"/>
      <c r="HJ18" s="438"/>
      <c r="HK18" s="438"/>
      <c r="HL18" s="438"/>
      <c r="HM18" s="438"/>
      <c r="HN18" s="438"/>
      <c r="HO18" s="438"/>
      <c r="HP18" s="438"/>
      <c r="HQ18" s="438"/>
      <c r="HR18" s="438"/>
      <c r="HS18" s="438"/>
      <c r="HT18" s="438"/>
      <c r="HU18" s="438"/>
      <c r="HV18" s="438"/>
      <c r="HW18" s="438"/>
      <c r="HX18" s="438"/>
      <c r="HY18" s="438"/>
      <c r="HZ18" s="438"/>
      <c r="IA18" s="438"/>
      <c r="IB18" s="438"/>
      <c r="IC18" s="438"/>
      <c r="ID18" s="438"/>
      <c r="IE18" s="438"/>
      <c r="IF18" s="438"/>
      <c r="IG18" s="438"/>
      <c r="IH18" s="438"/>
      <c r="II18" s="438"/>
      <c r="IJ18" s="438"/>
      <c r="IK18" s="438"/>
      <c r="IL18" s="438"/>
      <c r="IM18" s="438"/>
      <c r="IN18" s="438"/>
      <c r="IO18" s="438"/>
      <c r="IP18" s="438"/>
      <c r="IQ18" s="438"/>
      <c r="IR18" s="438"/>
      <c r="IS18" s="438"/>
      <c r="IT18" s="438"/>
      <c r="IU18" s="438"/>
      <c r="IV18" s="438"/>
      <c r="IW18" s="438"/>
    </row>
    <row r="19" customFormat="false" ht="12.75" hidden="false" customHeight="false" outlineLevel="0" collapsed="false">
      <c r="A19" s="438"/>
      <c r="B19" s="450"/>
      <c r="C19" s="451"/>
      <c r="D19" s="451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0"/>
      <c r="AC19" s="0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8"/>
      <c r="BC19" s="438"/>
      <c r="BD19" s="438"/>
      <c r="BE19" s="438"/>
      <c r="BF19" s="438"/>
      <c r="BG19" s="438"/>
      <c r="BH19" s="438"/>
      <c r="BI19" s="438"/>
      <c r="BJ19" s="438"/>
      <c r="BK19" s="438"/>
      <c r="BL19" s="438"/>
      <c r="BM19" s="438"/>
      <c r="BN19" s="438"/>
      <c r="BO19" s="438"/>
      <c r="BP19" s="438"/>
      <c r="BQ19" s="438"/>
      <c r="BR19" s="438"/>
      <c r="BS19" s="438"/>
      <c r="BT19" s="438"/>
      <c r="BU19" s="438"/>
      <c r="BV19" s="438"/>
      <c r="BW19" s="438"/>
      <c r="BX19" s="438"/>
      <c r="BY19" s="438"/>
      <c r="BZ19" s="438"/>
      <c r="CA19" s="438"/>
      <c r="CB19" s="438"/>
      <c r="CC19" s="438"/>
      <c r="CD19" s="438"/>
      <c r="CE19" s="438"/>
      <c r="CF19" s="438"/>
      <c r="CG19" s="438"/>
      <c r="CH19" s="438"/>
      <c r="CI19" s="438"/>
      <c r="CJ19" s="438"/>
      <c r="CK19" s="438"/>
      <c r="CL19" s="438"/>
      <c r="CM19" s="438"/>
      <c r="CN19" s="438"/>
      <c r="CO19" s="438"/>
      <c r="CP19" s="438"/>
      <c r="CQ19" s="438"/>
      <c r="CR19" s="438"/>
      <c r="CS19" s="438"/>
      <c r="CT19" s="438"/>
      <c r="CU19" s="438"/>
      <c r="CV19" s="438"/>
      <c r="CW19" s="438"/>
      <c r="CX19" s="438"/>
      <c r="CY19" s="438"/>
      <c r="CZ19" s="438"/>
      <c r="DA19" s="438"/>
      <c r="DB19" s="438"/>
      <c r="DC19" s="438"/>
      <c r="DD19" s="438"/>
      <c r="DE19" s="438"/>
      <c r="DF19" s="438"/>
      <c r="DG19" s="438"/>
      <c r="DH19" s="438"/>
      <c r="DI19" s="438"/>
      <c r="DJ19" s="438"/>
      <c r="DK19" s="438"/>
      <c r="DL19" s="438"/>
      <c r="DM19" s="438"/>
      <c r="DN19" s="438"/>
      <c r="DO19" s="438"/>
      <c r="DP19" s="438"/>
      <c r="DQ19" s="438"/>
      <c r="DR19" s="438"/>
      <c r="DS19" s="438"/>
      <c r="DT19" s="438"/>
      <c r="DU19" s="438"/>
      <c r="DV19" s="438"/>
      <c r="DW19" s="438"/>
      <c r="DX19" s="438"/>
      <c r="DY19" s="438"/>
      <c r="DZ19" s="438"/>
      <c r="EA19" s="438"/>
      <c r="EB19" s="438"/>
      <c r="EC19" s="438"/>
      <c r="ED19" s="438"/>
      <c r="EE19" s="438"/>
      <c r="EF19" s="438"/>
      <c r="EG19" s="438"/>
      <c r="EH19" s="438"/>
      <c r="EI19" s="438"/>
      <c r="EJ19" s="438"/>
      <c r="EK19" s="438"/>
      <c r="EL19" s="438"/>
      <c r="EM19" s="438"/>
      <c r="EN19" s="438"/>
      <c r="EO19" s="438"/>
      <c r="EP19" s="438"/>
      <c r="EQ19" s="438"/>
      <c r="ER19" s="438"/>
      <c r="ES19" s="438"/>
      <c r="ET19" s="438"/>
      <c r="EU19" s="438"/>
      <c r="EV19" s="438"/>
      <c r="EW19" s="438"/>
      <c r="EX19" s="438"/>
      <c r="EY19" s="438"/>
      <c r="EZ19" s="438"/>
      <c r="FA19" s="438"/>
      <c r="FB19" s="438"/>
      <c r="FC19" s="438"/>
      <c r="FD19" s="438"/>
      <c r="FE19" s="438"/>
      <c r="FF19" s="438"/>
      <c r="FG19" s="438"/>
      <c r="FH19" s="438"/>
      <c r="FI19" s="438"/>
      <c r="FJ19" s="438"/>
      <c r="FK19" s="438"/>
      <c r="FL19" s="438"/>
      <c r="FM19" s="438"/>
      <c r="FN19" s="438"/>
      <c r="FO19" s="438"/>
      <c r="FP19" s="438"/>
      <c r="FQ19" s="438"/>
      <c r="FR19" s="438"/>
      <c r="FS19" s="438"/>
      <c r="FT19" s="438"/>
      <c r="FU19" s="438"/>
      <c r="FV19" s="438"/>
      <c r="FW19" s="438"/>
      <c r="FX19" s="438"/>
      <c r="FY19" s="438"/>
      <c r="FZ19" s="438"/>
      <c r="GA19" s="438"/>
      <c r="GB19" s="438"/>
      <c r="GC19" s="438"/>
      <c r="GD19" s="438"/>
      <c r="GE19" s="438"/>
      <c r="GF19" s="438"/>
      <c r="GG19" s="438"/>
      <c r="GH19" s="438"/>
      <c r="GI19" s="438"/>
      <c r="GJ19" s="438"/>
      <c r="GK19" s="438"/>
      <c r="GL19" s="438"/>
      <c r="GM19" s="438"/>
      <c r="GN19" s="438"/>
      <c r="GO19" s="438"/>
      <c r="GP19" s="438"/>
      <c r="GQ19" s="438"/>
      <c r="GR19" s="438"/>
      <c r="GS19" s="438"/>
      <c r="GT19" s="438"/>
      <c r="GU19" s="438"/>
      <c r="GV19" s="438"/>
      <c r="GW19" s="438"/>
      <c r="GX19" s="438"/>
      <c r="GY19" s="438"/>
      <c r="GZ19" s="438"/>
      <c r="HA19" s="438"/>
      <c r="HB19" s="438"/>
      <c r="HC19" s="438"/>
      <c r="HD19" s="438"/>
      <c r="HE19" s="438"/>
      <c r="HF19" s="438"/>
      <c r="HG19" s="438"/>
      <c r="HH19" s="438"/>
      <c r="HI19" s="438"/>
      <c r="HJ19" s="438"/>
      <c r="HK19" s="438"/>
      <c r="HL19" s="438"/>
      <c r="HM19" s="438"/>
      <c r="HN19" s="438"/>
      <c r="HO19" s="438"/>
      <c r="HP19" s="438"/>
      <c r="HQ19" s="438"/>
      <c r="HR19" s="438"/>
      <c r="HS19" s="438"/>
      <c r="HT19" s="438"/>
      <c r="HU19" s="438"/>
      <c r="HV19" s="438"/>
      <c r="HW19" s="438"/>
      <c r="HX19" s="438"/>
      <c r="HY19" s="438"/>
      <c r="HZ19" s="438"/>
      <c r="IA19" s="438"/>
      <c r="IB19" s="438"/>
      <c r="IC19" s="438"/>
      <c r="ID19" s="438"/>
      <c r="IE19" s="438"/>
      <c r="IF19" s="438"/>
      <c r="IG19" s="438"/>
      <c r="IH19" s="438"/>
      <c r="II19" s="438"/>
      <c r="IJ19" s="438"/>
      <c r="IK19" s="438"/>
      <c r="IL19" s="438"/>
      <c r="IM19" s="438"/>
      <c r="IN19" s="438"/>
      <c r="IO19" s="438"/>
      <c r="IP19" s="438"/>
      <c r="IQ19" s="438"/>
      <c r="IR19" s="438"/>
      <c r="IS19" s="438"/>
      <c r="IT19" s="438"/>
      <c r="IU19" s="438"/>
      <c r="IV19" s="438"/>
      <c r="IW19" s="438"/>
    </row>
    <row r="20" customFormat="false" ht="12.75" hidden="false" customHeight="false" outlineLevel="0" collapsed="false">
      <c r="A20" s="1" t="s">
        <v>335</v>
      </c>
      <c r="B20" s="450" t="n">
        <f aca="false">B18</f>
        <v>99618</v>
      </c>
      <c r="C20" s="451"/>
      <c r="D20" s="451"/>
      <c r="E20" s="450" t="n">
        <f aca="false">B18-E18</f>
        <v>94637.1</v>
      </c>
      <c r="F20" s="450" t="n">
        <f aca="false">E20-F18</f>
        <v>85173.39</v>
      </c>
      <c r="G20" s="450" t="n">
        <f aca="false">F20-G18</f>
        <v>76656.051</v>
      </c>
      <c r="H20" s="450" t="n">
        <f aca="false">G20-H18</f>
        <v>68985.465</v>
      </c>
      <c r="I20" s="450" t="n">
        <f aca="false">H20-I18</f>
        <v>62081.9376</v>
      </c>
      <c r="J20" s="450" t="n">
        <f aca="false">I20-J18</f>
        <v>55875.7362</v>
      </c>
      <c r="K20" s="450" t="n">
        <f aca="false">J20-K18</f>
        <v>49998.2742</v>
      </c>
      <c r="L20" s="450" t="n">
        <f aca="false">K20-L18</f>
        <v>44110.8504</v>
      </c>
      <c r="M20" s="450" t="n">
        <f aca="false">L20-M18</f>
        <v>38233.3884</v>
      </c>
      <c r="N20" s="450" t="n">
        <f aca="false">M20-N18</f>
        <v>32345.9646</v>
      </c>
      <c r="O20" s="450" t="n">
        <f aca="false">N20-O18</f>
        <v>26468.5026</v>
      </c>
      <c r="P20" s="450" t="n">
        <f aca="false">O20-P18</f>
        <v>20581.0788</v>
      </c>
      <c r="Q20" s="450" t="n">
        <f aca="false">P20-Q18</f>
        <v>14703.6168</v>
      </c>
      <c r="R20" s="450" t="n">
        <f aca="false">Q20-R18</f>
        <v>8816.19300000002</v>
      </c>
      <c r="S20" s="450" t="n">
        <f aca="false">R20-S18</f>
        <v>2938.73100000002</v>
      </c>
      <c r="T20" s="450" t="n">
        <f aca="false">S20-T18</f>
        <v>1.81898940354586E-011</v>
      </c>
      <c r="U20" s="450" t="n">
        <f aca="false">T20-U18</f>
        <v>1.81898940354586E-011</v>
      </c>
      <c r="V20" s="450" t="n">
        <f aca="false">U20-V18</f>
        <v>1.81898940354586E-011</v>
      </c>
      <c r="W20" s="450" t="n">
        <f aca="false">V20-W18</f>
        <v>1.81898940354586E-011</v>
      </c>
      <c r="X20" s="450" t="n">
        <f aca="false">W20-X18</f>
        <v>1.81898940354586E-011</v>
      </c>
      <c r="Y20" s="450" t="n">
        <f aca="false">X20-Y18</f>
        <v>1.81898940354586E-011</v>
      </c>
      <c r="Z20" s="450" t="n">
        <f aca="false">Y20-Z18</f>
        <v>1.81898940354586E-011</v>
      </c>
      <c r="AA20" s="450"/>
      <c r="AB20" s="0"/>
      <c r="AC20" s="0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  <c r="AP20" s="438"/>
      <c r="AQ20" s="438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  <c r="BD20" s="438"/>
      <c r="BE20" s="438"/>
      <c r="BF20" s="438"/>
      <c r="BG20" s="438"/>
      <c r="BH20" s="438"/>
      <c r="BI20" s="438"/>
      <c r="BJ20" s="438"/>
      <c r="BK20" s="438"/>
      <c r="BL20" s="438"/>
      <c r="BM20" s="438"/>
      <c r="BN20" s="438"/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G20" s="438"/>
      <c r="CH20" s="438"/>
      <c r="CI20" s="438"/>
      <c r="CJ20" s="438"/>
      <c r="CK20" s="438"/>
      <c r="CL20" s="438"/>
      <c r="CM20" s="438"/>
      <c r="CN20" s="438"/>
      <c r="CO20" s="438"/>
      <c r="CP20" s="438"/>
      <c r="CQ20" s="438"/>
      <c r="CR20" s="438"/>
      <c r="CS20" s="438"/>
      <c r="CT20" s="438"/>
      <c r="CU20" s="438"/>
      <c r="CV20" s="438"/>
      <c r="CW20" s="438"/>
      <c r="CX20" s="438"/>
      <c r="CY20" s="438"/>
      <c r="CZ20" s="438"/>
      <c r="DA20" s="438"/>
      <c r="DB20" s="438"/>
      <c r="DC20" s="438"/>
      <c r="DD20" s="438"/>
      <c r="DE20" s="438"/>
      <c r="DF20" s="438"/>
      <c r="DG20" s="438"/>
      <c r="DH20" s="438"/>
      <c r="DI20" s="438"/>
      <c r="DJ20" s="438"/>
      <c r="DK20" s="438"/>
      <c r="DL20" s="438"/>
      <c r="DM20" s="438"/>
      <c r="DN20" s="438"/>
      <c r="DO20" s="438"/>
      <c r="DP20" s="438"/>
      <c r="DQ20" s="438"/>
      <c r="DR20" s="438"/>
      <c r="DS20" s="438"/>
      <c r="DT20" s="438"/>
      <c r="DU20" s="438"/>
      <c r="DV20" s="438"/>
      <c r="DW20" s="438"/>
      <c r="DX20" s="438"/>
      <c r="DY20" s="438"/>
      <c r="DZ20" s="438"/>
      <c r="EA20" s="438"/>
      <c r="EB20" s="438"/>
      <c r="EC20" s="438"/>
      <c r="ED20" s="438"/>
      <c r="EE20" s="438"/>
      <c r="EF20" s="438"/>
      <c r="EG20" s="438"/>
      <c r="EH20" s="438"/>
      <c r="EI20" s="438"/>
      <c r="EJ20" s="438"/>
      <c r="EK20" s="438"/>
      <c r="EL20" s="438"/>
      <c r="EM20" s="438"/>
      <c r="EN20" s="438"/>
      <c r="EO20" s="438"/>
      <c r="EP20" s="438"/>
      <c r="EQ20" s="438"/>
      <c r="ER20" s="438"/>
      <c r="ES20" s="438"/>
      <c r="ET20" s="438"/>
      <c r="EU20" s="438"/>
      <c r="EV20" s="438"/>
      <c r="EW20" s="438"/>
      <c r="EX20" s="438"/>
      <c r="EY20" s="438"/>
      <c r="EZ20" s="438"/>
      <c r="FA20" s="438"/>
      <c r="FB20" s="438"/>
      <c r="FC20" s="438"/>
      <c r="FD20" s="438"/>
      <c r="FE20" s="438"/>
      <c r="FF20" s="438"/>
      <c r="FG20" s="438"/>
      <c r="FH20" s="438"/>
      <c r="FI20" s="438"/>
      <c r="FJ20" s="438"/>
      <c r="FK20" s="438"/>
      <c r="FL20" s="438"/>
      <c r="FM20" s="438"/>
      <c r="FN20" s="438"/>
      <c r="FO20" s="438"/>
      <c r="FP20" s="438"/>
      <c r="FQ20" s="438"/>
      <c r="FR20" s="438"/>
      <c r="FS20" s="438"/>
      <c r="FT20" s="438"/>
      <c r="FU20" s="438"/>
      <c r="FV20" s="438"/>
      <c r="FW20" s="438"/>
      <c r="FX20" s="438"/>
      <c r="FY20" s="438"/>
      <c r="FZ20" s="438"/>
      <c r="GA20" s="438"/>
      <c r="GB20" s="438"/>
      <c r="GC20" s="438"/>
      <c r="GD20" s="438"/>
      <c r="GE20" s="438"/>
      <c r="GF20" s="438"/>
      <c r="GG20" s="438"/>
      <c r="GH20" s="438"/>
      <c r="GI20" s="438"/>
      <c r="GJ20" s="438"/>
      <c r="GK20" s="438"/>
      <c r="GL20" s="438"/>
      <c r="GM20" s="438"/>
      <c r="GN20" s="438"/>
      <c r="GO20" s="438"/>
      <c r="GP20" s="438"/>
      <c r="GQ20" s="438"/>
      <c r="GR20" s="438"/>
      <c r="GS20" s="438"/>
      <c r="GT20" s="438"/>
      <c r="GU20" s="438"/>
      <c r="GV20" s="438"/>
      <c r="GW20" s="438"/>
      <c r="GX20" s="438"/>
      <c r="GY20" s="438"/>
      <c r="GZ20" s="438"/>
      <c r="HA20" s="438"/>
      <c r="HB20" s="438"/>
      <c r="HC20" s="438"/>
      <c r="HD20" s="438"/>
      <c r="HE20" s="438"/>
      <c r="HF20" s="438"/>
      <c r="HG20" s="438"/>
      <c r="HH20" s="438"/>
      <c r="HI20" s="438"/>
      <c r="HJ20" s="438"/>
      <c r="HK20" s="438"/>
      <c r="HL20" s="438"/>
      <c r="HM20" s="438"/>
      <c r="HN20" s="438"/>
      <c r="HO20" s="438"/>
      <c r="HP20" s="438"/>
      <c r="HQ20" s="438"/>
      <c r="HR20" s="438"/>
      <c r="HS20" s="438"/>
      <c r="HT20" s="438"/>
      <c r="HU20" s="438"/>
      <c r="HV20" s="438"/>
      <c r="HW20" s="438"/>
      <c r="HX20" s="438"/>
      <c r="HY20" s="438"/>
      <c r="HZ20" s="438"/>
      <c r="IA20" s="438"/>
      <c r="IB20" s="438"/>
      <c r="IC20" s="438"/>
      <c r="ID20" s="438"/>
      <c r="IE20" s="438"/>
      <c r="IF20" s="438"/>
      <c r="IG20" s="438"/>
      <c r="IH20" s="438"/>
      <c r="II20" s="438"/>
      <c r="IJ20" s="438"/>
      <c r="IK20" s="438"/>
      <c r="IL20" s="438"/>
      <c r="IM20" s="438"/>
      <c r="IN20" s="438"/>
      <c r="IO20" s="438"/>
      <c r="IP20" s="438"/>
      <c r="IQ20" s="438"/>
      <c r="IR20" s="438"/>
      <c r="IS20" s="438"/>
      <c r="IT20" s="438"/>
      <c r="IU20" s="438"/>
      <c r="IV20" s="438"/>
      <c r="IW20" s="438"/>
    </row>
    <row r="21" customFormat="false" ht="12.75" hidden="false" customHeight="false" outlineLevel="0" collapsed="false">
      <c r="A21" s="454"/>
      <c r="B21" s="455"/>
      <c r="C21" s="456"/>
      <c r="D21" s="456"/>
      <c r="AB21" s="0"/>
      <c r="AC21" s="0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  <c r="AP21" s="438"/>
      <c r="AQ21" s="438"/>
      <c r="AR21" s="438"/>
      <c r="AS21" s="438"/>
      <c r="AT21" s="438"/>
      <c r="AU21" s="438"/>
      <c r="AV21" s="438"/>
      <c r="AW21" s="438"/>
      <c r="AX21" s="438"/>
      <c r="AY21" s="438"/>
      <c r="AZ21" s="438"/>
      <c r="BA21" s="438"/>
      <c r="BB21" s="438"/>
      <c r="BC21" s="438"/>
      <c r="BD21" s="438"/>
      <c r="BE21" s="438"/>
      <c r="BF21" s="438"/>
      <c r="BG21" s="438"/>
      <c r="BH21" s="438"/>
      <c r="BI21" s="438"/>
      <c r="BJ21" s="438"/>
      <c r="BK21" s="438"/>
      <c r="BL21" s="438"/>
      <c r="BM21" s="438"/>
      <c r="BN21" s="438"/>
      <c r="BO21" s="438"/>
      <c r="BP21" s="438"/>
      <c r="BQ21" s="438"/>
      <c r="BR21" s="438"/>
      <c r="BS21" s="438"/>
      <c r="BT21" s="438"/>
      <c r="BU21" s="438"/>
      <c r="BV21" s="438"/>
      <c r="BW21" s="438"/>
      <c r="BX21" s="438"/>
      <c r="BY21" s="438"/>
      <c r="BZ21" s="438"/>
      <c r="CA21" s="438"/>
      <c r="CB21" s="438"/>
      <c r="CC21" s="438"/>
      <c r="CD21" s="438"/>
      <c r="CE21" s="438"/>
      <c r="CF21" s="438"/>
      <c r="CG21" s="438"/>
      <c r="CH21" s="438"/>
      <c r="CI21" s="438"/>
      <c r="CJ21" s="438"/>
      <c r="CK21" s="438"/>
      <c r="CL21" s="438"/>
      <c r="CM21" s="438"/>
      <c r="CN21" s="438"/>
      <c r="CO21" s="438"/>
      <c r="CP21" s="438"/>
      <c r="CQ21" s="438"/>
      <c r="CR21" s="438"/>
      <c r="CS21" s="438"/>
      <c r="CT21" s="438"/>
      <c r="CU21" s="438"/>
      <c r="CV21" s="438"/>
      <c r="CW21" s="438"/>
      <c r="CX21" s="438"/>
      <c r="CY21" s="438"/>
      <c r="CZ21" s="438"/>
      <c r="DA21" s="438"/>
      <c r="DB21" s="438"/>
      <c r="DC21" s="438"/>
      <c r="DD21" s="438"/>
      <c r="DE21" s="438"/>
      <c r="DF21" s="438"/>
      <c r="DG21" s="438"/>
      <c r="DH21" s="438"/>
      <c r="DI21" s="438"/>
      <c r="DJ21" s="438"/>
      <c r="DK21" s="438"/>
      <c r="DL21" s="438"/>
      <c r="DM21" s="438"/>
      <c r="DN21" s="438"/>
      <c r="DO21" s="438"/>
      <c r="DP21" s="438"/>
      <c r="DQ21" s="438"/>
      <c r="DR21" s="438"/>
      <c r="DS21" s="438"/>
      <c r="DT21" s="438"/>
      <c r="DU21" s="438"/>
      <c r="DV21" s="438"/>
      <c r="DW21" s="438"/>
      <c r="DX21" s="438"/>
      <c r="DY21" s="438"/>
      <c r="DZ21" s="438"/>
      <c r="EA21" s="438"/>
      <c r="EB21" s="438"/>
      <c r="EC21" s="438"/>
      <c r="ED21" s="438"/>
      <c r="EE21" s="438"/>
      <c r="EF21" s="438"/>
      <c r="EG21" s="438"/>
      <c r="EH21" s="438"/>
      <c r="EI21" s="438"/>
      <c r="EJ21" s="438"/>
      <c r="EK21" s="438"/>
      <c r="EL21" s="438"/>
      <c r="EM21" s="438"/>
      <c r="EN21" s="438"/>
      <c r="EO21" s="438"/>
      <c r="EP21" s="438"/>
      <c r="EQ21" s="438"/>
      <c r="ER21" s="438"/>
      <c r="ES21" s="438"/>
      <c r="ET21" s="438"/>
      <c r="EU21" s="438"/>
      <c r="EV21" s="438"/>
      <c r="EW21" s="438"/>
      <c r="EX21" s="438"/>
      <c r="EY21" s="438"/>
      <c r="EZ21" s="438"/>
      <c r="FA21" s="438"/>
      <c r="FB21" s="438"/>
      <c r="FC21" s="438"/>
      <c r="FD21" s="438"/>
      <c r="FE21" s="438"/>
      <c r="FF21" s="438"/>
      <c r="FG21" s="438"/>
      <c r="FH21" s="438"/>
      <c r="FI21" s="438"/>
      <c r="FJ21" s="438"/>
      <c r="FK21" s="438"/>
      <c r="FL21" s="438"/>
      <c r="FM21" s="438"/>
      <c r="FN21" s="438"/>
      <c r="FO21" s="438"/>
      <c r="FP21" s="438"/>
      <c r="FQ21" s="438"/>
      <c r="FR21" s="438"/>
      <c r="FS21" s="438"/>
      <c r="FT21" s="438"/>
      <c r="FU21" s="438"/>
      <c r="FV21" s="438"/>
      <c r="FW21" s="438"/>
      <c r="FX21" s="438"/>
      <c r="FY21" s="438"/>
      <c r="FZ21" s="438"/>
      <c r="GA21" s="438"/>
      <c r="GB21" s="438"/>
      <c r="GC21" s="438"/>
      <c r="GD21" s="438"/>
      <c r="GE21" s="438"/>
      <c r="GF21" s="438"/>
      <c r="GG21" s="438"/>
      <c r="GH21" s="438"/>
      <c r="GI21" s="438"/>
      <c r="GJ21" s="438"/>
      <c r="GK21" s="438"/>
      <c r="GL21" s="438"/>
      <c r="GM21" s="438"/>
      <c r="GN21" s="438"/>
      <c r="GO21" s="438"/>
      <c r="GP21" s="438"/>
      <c r="GQ21" s="438"/>
      <c r="GR21" s="438"/>
      <c r="GS21" s="438"/>
      <c r="GT21" s="438"/>
      <c r="GU21" s="438"/>
      <c r="GV21" s="438"/>
      <c r="GW21" s="438"/>
      <c r="GX21" s="438"/>
      <c r="GY21" s="438"/>
      <c r="GZ21" s="438"/>
      <c r="HA21" s="438"/>
      <c r="HB21" s="438"/>
      <c r="HC21" s="438"/>
      <c r="HD21" s="438"/>
      <c r="HE21" s="438"/>
      <c r="HF21" s="438"/>
      <c r="HG21" s="438"/>
      <c r="HH21" s="438"/>
      <c r="HI21" s="438"/>
      <c r="HJ21" s="438"/>
      <c r="HK21" s="438"/>
      <c r="HL21" s="438"/>
      <c r="HM21" s="438"/>
      <c r="HN21" s="438"/>
      <c r="HO21" s="438"/>
      <c r="HP21" s="438"/>
      <c r="HQ21" s="438"/>
      <c r="HR21" s="438"/>
      <c r="HS21" s="438"/>
      <c r="HT21" s="438"/>
      <c r="HU21" s="438"/>
      <c r="HV21" s="438"/>
      <c r="HW21" s="438"/>
      <c r="HX21" s="438"/>
      <c r="HY21" s="438"/>
      <c r="HZ21" s="438"/>
      <c r="IA21" s="438"/>
      <c r="IB21" s="438"/>
      <c r="IC21" s="438"/>
      <c r="ID21" s="438"/>
      <c r="IE21" s="438"/>
      <c r="IF21" s="438"/>
      <c r="IG21" s="438"/>
      <c r="IH21" s="438"/>
      <c r="II21" s="438"/>
      <c r="IJ21" s="438"/>
      <c r="IK21" s="438"/>
      <c r="IL21" s="438"/>
      <c r="IM21" s="438"/>
      <c r="IN21" s="438"/>
      <c r="IO21" s="438"/>
      <c r="IP21" s="438"/>
      <c r="IQ21" s="438"/>
      <c r="IR21" s="438"/>
      <c r="IS21" s="438"/>
      <c r="IT21" s="438"/>
      <c r="IU21" s="438"/>
      <c r="IV21" s="438"/>
      <c r="IW21" s="438"/>
    </row>
    <row r="22" customFormat="false" ht="12.75" hidden="false" customHeight="false" outlineLevel="0" collapsed="false">
      <c r="A22" s="435" t="s">
        <v>336</v>
      </c>
      <c r="B22" s="457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0"/>
      <c r="AC22" s="0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  <c r="AP22" s="438"/>
      <c r="AQ22" s="438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438"/>
      <c r="BF22" s="438"/>
      <c r="BG22" s="438"/>
      <c r="BH22" s="438"/>
      <c r="BI22" s="438"/>
      <c r="BJ22" s="438"/>
      <c r="BK22" s="438"/>
      <c r="BL22" s="438"/>
      <c r="BM22" s="438"/>
      <c r="BN22" s="438"/>
      <c r="BO22" s="438"/>
      <c r="BP22" s="438"/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  <c r="CA22" s="438"/>
      <c r="CB22" s="438"/>
      <c r="CC22" s="438"/>
      <c r="CD22" s="438"/>
      <c r="CE22" s="438"/>
      <c r="CF22" s="438"/>
      <c r="CG22" s="438"/>
      <c r="CH22" s="438"/>
      <c r="CI22" s="438"/>
      <c r="CJ22" s="438"/>
      <c r="CK22" s="438"/>
      <c r="CL22" s="438"/>
      <c r="CM22" s="438"/>
      <c r="CN22" s="438"/>
      <c r="CO22" s="438"/>
      <c r="CP22" s="438"/>
      <c r="CQ22" s="438"/>
      <c r="CR22" s="438"/>
      <c r="CS22" s="438"/>
      <c r="CT22" s="438"/>
      <c r="CU22" s="438"/>
      <c r="CV22" s="438"/>
      <c r="CW22" s="438"/>
      <c r="CX22" s="438"/>
      <c r="CY22" s="438"/>
      <c r="CZ22" s="438"/>
      <c r="DA22" s="438"/>
      <c r="DB22" s="438"/>
      <c r="DC22" s="438"/>
      <c r="DD22" s="438"/>
      <c r="DE22" s="438"/>
      <c r="DF22" s="438"/>
      <c r="DG22" s="438"/>
      <c r="DH22" s="438"/>
      <c r="DI22" s="438"/>
      <c r="DJ22" s="438"/>
      <c r="DK22" s="438"/>
      <c r="DL22" s="438"/>
      <c r="DM22" s="438"/>
      <c r="DN22" s="438"/>
      <c r="DO22" s="438"/>
      <c r="DP22" s="438"/>
      <c r="DQ22" s="438"/>
      <c r="DR22" s="438"/>
      <c r="DS22" s="438"/>
      <c r="DT22" s="438"/>
      <c r="DU22" s="438"/>
      <c r="DV22" s="438"/>
      <c r="DW22" s="438"/>
      <c r="DX22" s="438"/>
      <c r="DY22" s="438"/>
      <c r="DZ22" s="438"/>
      <c r="EA22" s="438"/>
      <c r="EB22" s="438"/>
      <c r="EC22" s="438"/>
      <c r="ED22" s="438"/>
      <c r="EE22" s="438"/>
      <c r="EF22" s="438"/>
      <c r="EG22" s="438"/>
      <c r="EH22" s="438"/>
      <c r="EI22" s="438"/>
      <c r="EJ22" s="438"/>
      <c r="EK22" s="438"/>
      <c r="EL22" s="438"/>
      <c r="EM22" s="438"/>
      <c r="EN22" s="438"/>
      <c r="EO22" s="438"/>
      <c r="EP22" s="438"/>
      <c r="EQ22" s="438"/>
      <c r="ER22" s="438"/>
      <c r="ES22" s="438"/>
      <c r="ET22" s="438"/>
      <c r="EU22" s="438"/>
      <c r="EV22" s="438"/>
      <c r="EW22" s="438"/>
      <c r="EX22" s="438"/>
      <c r="EY22" s="438"/>
      <c r="EZ22" s="438"/>
      <c r="FA22" s="438"/>
      <c r="FB22" s="438"/>
      <c r="FC22" s="438"/>
      <c r="FD22" s="438"/>
      <c r="FE22" s="438"/>
      <c r="FF22" s="438"/>
      <c r="FG22" s="438"/>
      <c r="FH22" s="438"/>
      <c r="FI22" s="438"/>
      <c r="FJ22" s="438"/>
      <c r="FK22" s="438"/>
      <c r="FL22" s="438"/>
      <c r="FM22" s="438"/>
      <c r="FN22" s="438"/>
      <c r="FO22" s="438"/>
      <c r="FP22" s="438"/>
      <c r="FQ22" s="438"/>
      <c r="FR22" s="438"/>
      <c r="FS22" s="438"/>
      <c r="FT22" s="438"/>
      <c r="FU22" s="438"/>
      <c r="FV22" s="438"/>
      <c r="FW22" s="438"/>
      <c r="FX22" s="438"/>
      <c r="FY22" s="438"/>
      <c r="FZ22" s="438"/>
      <c r="GA22" s="438"/>
      <c r="GB22" s="438"/>
      <c r="GC22" s="438"/>
      <c r="GD22" s="438"/>
      <c r="GE22" s="438"/>
      <c r="GF22" s="438"/>
      <c r="GG22" s="438"/>
      <c r="GH22" s="438"/>
      <c r="GI22" s="438"/>
      <c r="GJ22" s="438"/>
      <c r="GK22" s="438"/>
      <c r="GL22" s="438"/>
      <c r="GM22" s="438"/>
      <c r="GN22" s="438"/>
      <c r="GO22" s="438"/>
      <c r="GP22" s="438"/>
      <c r="GQ22" s="438"/>
      <c r="GR22" s="438"/>
      <c r="GS22" s="438"/>
      <c r="GT22" s="438"/>
      <c r="GU22" s="438"/>
      <c r="GV22" s="438"/>
      <c r="GW22" s="438"/>
      <c r="GX22" s="438"/>
      <c r="GY22" s="438"/>
      <c r="GZ22" s="438"/>
      <c r="HA22" s="438"/>
      <c r="HB22" s="438"/>
      <c r="HC22" s="438"/>
      <c r="HD22" s="438"/>
      <c r="HE22" s="438"/>
      <c r="HF22" s="438"/>
      <c r="HG22" s="438"/>
      <c r="HH22" s="438"/>
      <c r="HI22" s="438"/>
      <c r="HJ22" s="438"/>
      <c r="HK22" s="438"/>
      <c r="HL22" s="438"/>
      <c r="HM22" s="438"/>
      <c r="HN22" s="438"/>
      <c r="HO22" s="438"/>
      <c r="HP22" s="438"/>
      <c r="HQ22" s="438"/>
      <c r="HR22" s="438"/>
      <c r="HS22" s="438"/>
      <c r="HT22" s="438"/>
      <c r="HU22" s="438"/>
      <c r="HV22" s="438"/>
      <c r="HW22" s="438"/>
      <c r="HX22" s="438"/>
      <c r="HY22" s="438"/>
      <c r="HZ22" s="438"/>
      <c r="IA22" s="438"/>
      <c r="IB22" s="438"/>
      <c r="IC22" s="438"/>
      <c r="ID22" s="438"/>
      <c r="IE22" s="438"/>
      <c r="IF22" s="438"/>
      <c r="IG22" s="438"/>
      <c r="IH22" s="438"/>
      <c r="II22" s="438"/>
      <c r="IJ22" s="438"/>
      <c r="IK22" s="438"/>
      <c r="IL22" s="438"/>
      <c r="IM22" s="438"/>
      <c r="IN22" s="438"/>
      <c r="IO22" s="438"/>
      <c r="IP22" s="438"/>
      <c r="IQ22" s="438"/>
      <c r="IR22" s="438"/>
      <c r="IS22" s="438"/>
      <c r="IT22" s="438"/>
      <c r="IU22" s="438"/>
      <c r="IV22" s="438"/>
      <c r="IW22" s="438"/>
    </row>
    <row r="23" customFormat="false" ht="12.75" hidden="false" customHeight="false" outlineLevel="0" collapsed="false">
      <c r="A23" s="435"/>
      <c r="B23" s="439" t="s">
        <v>330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0"/>
      <c r="AC23" s="0"/>
      <c r="AD23" s="438"/>
      <c r="AE23" s="438"/>
      <c r="AF23" s="438"/>
      <c r="AG23" s="438"/>
      <c r="AH23" s="438"/>
      <c r="AI23" s="438"/>
      <c r="AJ23" s="438"/>
      <c r="AK23" s="438"/>
      <c r="AL23" s="438"/>
      <c r="AM23" s="438"/>
      <c r="AN23" s="438"/>
      <c r="AO23" s="438"/>
      <c r="AP23" s="438"/>
      <c r="AQ23" s="438"/>
      <c r="AR23" s="438"/>
      <c r="AS23" s="438"/>
      <c r="AT23" s="438"/>
      <c r="AU23" s="438"/>
      <c r="AV23" s="438"/>
      <c r="AW23" s="438"/>
      <c r="AX23" s="438"/>
      <c r="AY23" s="438"/>
      <c r="AZ23" s="438"/>
      <c r="BA23" s="438"/>
      <c r="BB23" s="438"/>
      <c r="BC23" s="438"/>
      <c r="BD23" s="438"/>
      <c r="BE23" s="438"/>
      <c r="BF23" s="438"/>
      <c r="BG23" s="438"/>
      <c r="BH23" s="438"/>
      <c r="BI23" s="438"/>
      <c r="BJ23" s="438"/>
      <c r="BK23" s="438"/>
      <c r="BL23" s="438"/>
      <c r="BM23" s="438"/>
      <c r="BN23" s="438"/>
      <c r="BO23" s="438"/>
      <c r="BP23" s="438"/>
      <c r="BQ23" s="438"/>
      <c r="BR23" s="438"/>
      <c r="BS23" s="438"/>
      <c r="BT23" s="438"/>
      <c r="BU23" s="438"/>
      <c r="BV23" s="438"/>
      <c r="BW23" s="438"/>
      <c r="BX23" s="438"/>
      <c r="BY23" s="438"/>
      <c r="BZ23" s="438"/>
      <c r="CA23" s="438"/>
      <c r="CB23" s="438"/>
      <c r="CC23" s="438"/>
      <c r="CD23" s="438"/>
      <c r="CE23" s="438"/>
      <c r="CF23" s="438"/>
      <c r="CG23" s="438"/>
      <c r="CH23" s="438"/>
      <c r="CI23" s="438"/>
      <c r="CJ23" s="438"/>
      <c r="CK23" s="438"/>
      <c r="CL23" s="438"/>
      <c r="CM23" s="438"/>
      <c r="CN23" s="438"/>
      <c r="CO23" s="438"/>
      <c r="CP23" s="438"/>
      <c r="CQ23" s="438"/>
      <c r="CR23" s="438"/>
      <c r="CS23" s="438"/>
      <c r="CT23" s="438"/>
      <c r="CU23" s="438"/>
      <c r="CV23" s="438"/>
      <c r="CW23" s="438"/>
      <c r="CX23" s="438"/>
      <c r="CY23" s="438"/>
      <c r="CZ23" s="438"/>
      <c r="DA23" s="438"/>
      <c r="DB23" s="438"/>
      <c r="DC23" s="438"/>
      <c r="DD23" s="438"/>
      <c r="DE23" s="438"/>
      <c r="DF23" s="438"/>
      <c r="DG23" s="438"/>
      <c r="DH23" s="438"/>
      <c r="DI23" s="438"/>
      <c r="DJ23" s="438"/>
      <c r="DK23" s="438"/>
      <c r="DL23" s="438"/>
      <c r="DM23" s="438"/>
      <c r="DN23" s="438"/>
      <c r="DO23" s="438"/>
      <c r="DP23" s="438"/>
      <c r="DQ23" s="438"/>
      <c r="DR23" s="438"/>
      <c r="DS23" s="438"/>
      <c r="DT23" s="438"/>
      <c r="DU23" s="438"/>
      <c r="DV23" s="438"/>
      <c r="DW23" s="438"/>
      <c r="DX23" s="438"/>
      <c r="DY23" s="438"/>
      <c r="DZ23" s="438"/>
      <c r="EA23" s="438"/>
      <c r="EB23" s="438"/>
      <c r="EC23" s="438"/>
      <c r="ED23" s="438"/>
      <c r="EE23" s="438"/>
      <c r="EF23" s="438"/>
      <c r="EG23" s="438"/>
      <c r="EH23" s="438"/>
      <c r="EI23" s="438"/>
      <c r="EJ23" s="438"/>
      <c r="EK23" s="438"/>
      <c r="EL23" s="438"/>
      <c r="EM23" s="438"/>
      <c r="EN23" s="438"/>
      <c r="EO23" s="438"/>
      <c r="EP23" s="438"/>
      <c r="EQ23" s="438"/>
      <c r="ER23" s="438"/>
      <c r="ES23" s="438"/>
      <c r="ET23" s="438"/>
      <c r="EU23" s="438"/>
      <c r="EV23" s="438"/>
      <c r="EW23" s="438"/>
      <c r="EX23" s="438"/>
      <c r="EY23" s="438"/>
      <c r="EZ23" s="438"/>
      <c r="FA23" s="438"/>
      <c r="FB23" s="438"/>
      <c r="FC23" s="438"/>
      <c r="FD23" s="438"/>
      <c r="FE23" s="438"/>
      <c r="FF23" s="438"/>
      <c r="FG23" s="438"/>
      <c r="FH23" s="438"/>
      <c r="FI23" s="438"/>
      <c r="FJ23" s="438"/>
      <c r="FK23" s="438"/>
      <c r="FL23" s="438"/>
      <c r="FM23" s="438"/>
      <c r="FN23" s="438"/>
      <c r="FO23" s="438"/>
      <c r="FP23" s="438"/>
      <c r="FQ23" s="438"/>
      <c r="FR23" s="438"/>
      <c r="FS23" s="438"/>
      <c r="FT23" s="438"/>
      <c r="FU23" s="438"/>
      <c r="FV23" s="438"/>
      <c r="FW23" s="438"/>
      <c r="FX23" s="438"/>
      <c r="FY23" s="438"/>
      <c r="FZ23" s="438"/>
      <c r="GA23" s="438"/>
      <c r="GB23" s="438"/>
      <c r="GC23" s="438"/>
      <c r="GD23" s="438"/>
      <c r="GE23" s="438"/>
      <c r="GF23" s="438"/>
      <c r="GG23" s="438"/>
      <c r="GH23" s="438"/>
      <c r="GI23" s="438"/>
      <c r="GJ23" s="438"/>
      <c r="GK23" s="438"/>
      <c r="GL23" s="438"/>
      <c r="GM23" s="438"/>
      <c r="GN23" s="438"/>
      <c r="GO23" s="438"/>
      <c r="GP23" s="438"/>
      <c r="GQ23" s="438"/>
      <c r="GR23" s="438"/>
      <c r="GS23" s="438"/>
      <c r="GT23" s="438"/>
      <c r="GU23" s="438"/>
      <c r="GV23" s="438"/>
      <c r="GW23" s="438"/>
      <c r="GX23" s="438"/>
      <c r="GY23" s="438"/>
      <c r="GZ23" s="438"/>
      <c r="HA23" s="438"/>
      <c r="HB23" s="438"/>
      <c r="HC23" s="438"/>
      <c r="HD23" s="438"/>
      <c r="HE23" s="438"/>
      <c r="HF23" s="438"/>
      <c r="HG23" s="438"/>
      <c r="HH23" s="438"/>
      <c r="HI23" s="438"/>
      <c r="HJ23" s="438"/>
      <c r="HK23" s="438"/>
      <c r="HL23" s="438"/>
      <c r="HM23" s="438"/>
      <c r="HN23" s="438"/>
      <c r="HO23" s="438"/>
      <c r="HP23" s="438"/>
      <c r="HQ23" s="438"/>
      <c r="HR23" s="438"/>
      <c r="HS23" s="438"/>
      <c r="HT23" s="438"/>
      <c r="HU23" s="438"/>
      <c r="HV23" s="438"/>
      <c r="HW23" s="438"/>
      <c r="HX23" s="438"/>
      <c r="HY23" s="438"/>
      <c r="HZ23" s="438"/>
      <c r="IA23" s="438"/>
      <c r="IB23" s="438"/>
      <c r="IC23" s="438"/>
      <c r="ID23" s="438"/>
      <c r="IE23" s="438"/>
      <c r="IF23" s="438"/>
      <c r="IG23" s="438"/>
      <c r="IH23" s="438"/>
      <c r="II23" s="438"/>
      <c r="IJ23" s="438"/>
      <c r="IK23" s="438"/>
      <c r="IL23" s="438"/>
      <c r="IM23" s="438"/>
      <c r="IN23" s="438"/>
      <c r="IO23" s="438"/>
      <c r="IP23" s="438"/>
      <c r="IQ23" s="438"/>
      <c r="IR23" s="438"/>
      <c r="IS23" s="438"/>
      <c r="IT23" s="438"/>
      <c r="IU23" s="438"/>
      <c r="IV23" s="438"/>
      <c r="IW23" s="438"/>
    </row>
    <row r="24" customFormat="false" ht="12.75" hidden="false" customHeight="false" outlineLevel="0" collapsed="false">
      <c r="A24" s="441" t="s">
        <v>331</v>
      </c>
      <c r="B24" s="442" t="n">
        <f aca="false">Assumptions!$N$12</f>
        <v>15</v>
      </c>
      <c r="C24" s="443"/>
      <c r="D24" s="443"/>
      <c r="E24" s="386" t="n">
        <f aca="false">E13</f>
        <v>0.05</v>
      </c>
      <c r="F24" s="386" t="n">
        <f aca="false">F13</f>
        <v>0.095</v>
      </c>
      <c r="G24" s="386" t="n">
        <f aca="false">G13</f>
        <v>0.0855</v>
      </c>
      <c r="H24" s="386" t="n">
        <f aca="false">H13</f>
        <v>0.077</v>
      </c>
      <c r="I24" s="386" t="n">
        <f aca="false">I13</f>
        <v>0.0693</v>
      </c>
      <c r="J24" s="386" t="n">
        <f aca="false">J13</f>
        <v>0.0623</v>
      </c>
      <c r="K24" s="386" t="n">
        <f aca="false">K13</f>
        <v>0.059</v>
      </c>
      <c r="L24" s="386" t="n">
        <f aca="false">L13</f>
        <v>0.0591</v>
      </c>
      <c r="M24" s="386" t="n">
        <f aca="false">M13</f>
        <v>0.059</v>
      </c>
      <c r="N24" s="386" t="n">
        <f aca="false">N13</f>
        <v>0.0591</v>
      </c>
      <c r="O24" s="386" t="n">
        <f aca="false">O13</f>
        <v>0.059</v>
      </c>
      <c r="P24" s="386" t="n">
        <f aca="false">P13</f>
        <v>0.0591</v>
      </c>
      <c r="Q24" s="386" t="n">
        <f aca="false">Q13</f>
        <v>0.059</v>
      </c>
      <c r="R24" s="386" t="n">
        <f aca="false">R13</f>
        <v>0.0591</v>
      </c>
      <c r="S24" s="386" t="n">
        <f aca="false">S13</f>
        <v>0.059</v>
      </c>
      <c r="T24" s="386" t="n">
        <f aca="false">T13</f>
        <v>0.0295</v>
      </c>
      <c r="U24" s="386" t="n">
        <f aca="false">U13</f>
        <v>0</v>
      </c>
      <c r="V24" s="386" t="n">
        <f aca="false">V13</f>
        <v>0</v>
      </c>
      <c r="W24" s="386" t="n">
        <f aca="false">W13</f>
        <v>0</v>
      </c>
      <c r="X24" s="386" t="n">
        <f aca="false">X13</f>
        <v>0</v>
      </c>
      <c r="Y24" s="386" t="n">
        <f aca="false">Y13</f>
        <v>0</v>
      </c>
      <c r="Z24" s="386" t="n">
        <f aca="false">Z13</f>
        <v>0</v>
      </c>
      <c r="AA24" s="386"/>
      <c r="AB24" s="0"/>
      <c r="AC24" s="0"/>
      <c r="AD24" s="438"/>
      <c r="AE24" s="438"/>
      <c r="AF24" s="438"/>
      <c r="AG24" s="438"/>
      <c r="AH24" s="438"/>
      <c r="AI24" s="438"/>
      <c r="AJ24" s="438"/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38"/>
      <c r="BC24" s="438"/>
      <c r="BD24" s="438"/>
      <c r="BE24" s="438"/>
      <c r="BF24" s="438"/>
      <c r="BG24" s="438"/>
      <c r="BH24" s="438"/>
      <c r="BI24" s="438"/>
      <c r="BJ24" s="438"/>
      <c r="BK24" s="438"/>
      <c r="BL24" s="438"/>
      <c r="BM24" s="438"/>
      <c r="BN24" s="438"/>
      <c r="BO24" s="438"/>
      <c r="BP24" s="438"/>
      <c r="BQ24" s="438"/>
      <c r="BR24" s="438"/>
      <c r="BS24" s="438"/>
      <c r="BT24" s="438"/>
      <c r="BU24" s="438"/>
      <c r="BV24" s="438"/>
      <c r="BW24" s="438"/>
      <c r="BX24" s="438"/>
      <c r="BY24" s="438"/>
      <c r="BZ24" s="438"/>
      <c r="CA24" s="438"/>
      <c r="CB24" s="438"/>
      <c r="CC24" s="438"/>
      <c r="CD24" s="438"/>
      <c r="CE24" s="438"/>
      <c r="CF24" s="438"/>
      <c r="CG24" s="438"/>
      <c r="CH24" s="438"/>
      <c r="CI24" s="438"/>
      <c r="CJ24" s="438"/>
      <c r="CK24" s="438"/>
      <c r="CL24" s="438"/>
      <c r="CM24" s="438"/>
      <c r="CN24" s="438"/>
      <c r="CO24" s="438"/>
      <c r="CP24" s="438"/>
      <c r="CQ24" s="438"/>
      <c r="CR24" s="438"/>
      <c r="CS24" s="438"/>
      <c r="CT24" s="438"/>
      <c r="CU24" s="438"/>
      <c r="CV24" s="438"/>
      <c r="CW24" s="438"/>
      <c r="CX24" s="438"/>
      <c r="CY24" s="438"/>
      <c r="CZ24" s="438"/>
      <c r="DA24" s="438"/>
      <c r="DB24" s="438"/>
      <c r="DC24" s="438"/>
      <c r="DD24" s="438"/>
      <c r="DE24" s="438"/>
      <c r="DF24" s="438"/>
      <c r="DG24" s="438"/>
      <c r="DH24" s="438"/>
      <c r="DI24" s="438"/>
      <c r="DJ24" s="438"/>
      <c r="DK24" s="438"/>
      <c r="DL24" s="438"/>
      <c r="DM24" s="438"/>
      <c r="DN24" s="438"/>
      <c r="DO24" s="438"/>
      <c r="DP24" s="438"/>
      <c r="DQ24" s="438"/>
      <c r="DR24" s="438"/>
      <c r="DS24" s="438"/>
      <c r="DT24" s="438"/>
      <c r="DU24" s="438"/>
      <c r="DV24" s="438"/>
      <c r="DW24" s="438"/>
      <c r="DX24" s="438"/>
      <c r="DY24" s="438"/>
      <c r="DZ24" s="438"/>
      <c r="EA24" s="438"/>
      <c r="EB24" s="438"/>
      <c r="EC24" s="438"/>
      <c r="ED24" s="438"/>
      <c r="EE24" s="438"/>
      <c r="EF24" s="438"/>
      <c r="EG24" s="438"/>
      <c r="EH24" s="438"/>
      <c r="EI24" s="438"/>
      <c r="EJ24" s="438"/>
      <c r="EK24" s="438"/>
      <c r="EL24" s="438"/>
      <c r="EM24" s="438"/>
      <c r="EN24" s="438"/>
      <c r="EO24" s="438"/>
      <c r="EP24" s="438"/>
      <c r="EQ24" s="438"/>
      <c r="ER24" s="438"/>
      <c r="ES24" s="438"/>
      <c r="ET24" s="438"/>
      <c r="EU24" s="438"/>
      <c r="EV24" s="438"/>
      <c r="EW24" s="438"/>
      <c r="EX24" s="438"/>
      <c r="EY24" s="438"/>
      <c r="EZ24" s="438"/>
      <c r="FA24" s="438"/>
      <c r="FB24" s="438"/>
      <c r="FC24" s="438"/>
      <c r="FD24" s="438"/>
      <c r="FE24" s="438"/>
      <c r="FF24" s="438"/>
      <c r="FG24" s="438"/>
      <c r="FH24" s="438"/>
      <c r="FI24" s="438"/>
      <c r="FJ24" s="438"/>
      <c r="FK24" s="438"/>
      <c r="FL24" s="438"/>
      <c r="FM24" s="438"/>
      <c r="FN24" s="438"/>
      <c r="FO24" s="438"/>
      <c r="FP24" s="438"/>
      <c r="FQ24" s="438"/>
      <c r="FR24" s="438"/>
      <c r="FS24" s="438"/>
      <c r="FT24" s="438"/>
      <c r="FU24" s="438"/>
      <c r="FV24" s="438"/>
      <c r="FW24" s="438"/>
      <c r="FX24" s="438"/>
      <c r="FY24" s="438"/>
      <c r="FZ24" s="438"/>
      <c r="GA24" s="438"/>
      <c r="GB24" s="438"/>
      <c r="GC24" s="438"/>
      <c r="GD24" s="438"/>
      <c r="GE24" s="438"/>
      <c r="GF24" s="438"/>
      <c r="GG24" s="438"/>
      <c r="GH24" s="438"/>
      <c r="GI24" s="438"/>
      <c r="GJ24" s="438"/>
      <c r="GK24" s="438"/>
      <c r="GL24" s="438"/>
      <c r="GM24" s="438"/>
      <c r="GN24" s="438"/>
      <c r="GO24" s="438"/>
      <c r="GP24" s="438"/>
      <c r="GQ24" s="438"/>
      <c r="GR24" s="438"/>
      <c r="GS24" s="438"/>
      <c r="GT24" s="438"/>
      <c r="GU24" s="438"/>
      <c r="GV24" s="438"/>
      <c r="GW24" s="438"/>
      <c r="GX24" s="438"/>
      <c r="GY24" s="438"/>
      <c r="GZ24" s="438"/>
      <c r="HA24" s="438"/>
      <c r="HB24" s="438"/>
      <c r="HC24" s="438"/>
      <c r="HD24" s="438"/>
      <c r="HE24" s="438"/>
      <c r="HF24" s="438"/>
      <c r="HG24" s="438"/>
      <c r="HH24" s="438"/>
      <c r="HI24" s="438"/>
      <c r="HJ24" s="438"/>
      <c r="HK24" s="438"/>
      <c r="HL24" s="438"/>
      <c r="HM24" s="438"/>
      <c r="HN24" s="438"/>
      <c r="HO24" s="438"/>
      <c r="HP24" s="438"/>
      <c r="HQ24" s="438"/>
      <c r="HR24" s="438"/>
      <c r="HS24" s="438"/>
      <c r="HT24" s="438"/>
      <c r="HU24" s="438"/>
      <c r="HV24" s="438"/>
      <c r="HW24" s="438"/>
      <c r="HX24" s="438"/>
      <c r="HY24" s="438"/>
      <c r="HZ24" s="438"/>
      <c r="IA24" s="438"/>
      <c r="IB24" s="438"/>
      <c r="IC24" s="438"/>
      <c r="ID24" s="438"/>
      <c r="IE24" s="438"/>
      <c r="IF24" s="438"/>
      <c r="IG24" s="438"/>
      <c r="IH24" s="438"/>
      <c r="II24" s="438"/>
      <c r="IJ24" s="438"/>
      <c r="IK24" s="438"/>
      <c r="IL24" s="438"/>
      <c r="IM24" s="438"/>
      <c r="IN24" s="438"/>
      <c r="IO24" s="438"/>
      <c r="IP24" s="438"/>
      <c r="IQ24" s="438"/>
      <c r="IR24" s="438"/>
      <c r="IS24" s="438"/>
      <c r="IT24" s="438"/>
      <c r="IU24" s="438"/>
      <c r="IV24" s="438"/>
      <c r="IW24" s="438"/>
    </row>
    <row r="25" customFormat="false" ht="12.75" hidden="false" customHeight="false" outlineLevel="0" collapsed="false">
      <c r="A25" s="445" t="s">
        <v>332</v>
      </c>
      <c r="B25" s="446" t="n">
        <f aca="false">Assumptions!$N$13</f>
        <v>20</v>
      </c>
      <c r="C25" s="443"/>
      <c r="D25" s="443"/>
      <c r="E25" s="386" t="n">
        <f aca="false">E14</f>
        <v>0.025</v>
      </c>
      <c r="F25" s="386" t="n">
        <f aca="false">F14</f>
        <v>0.05</v>
      </c>
      <c r="G25" s="386" t="n">
        <f aca="false">G14</f>
        <v>0.05</v>
      </c>
      <c r="H25" s="386" t="n">
        <f aca="false">H14</f>
        <v>0.05</v>
      </c>
      <c r="I25" s="386" t="n">
        <f aca="false">I14</f>
        <v>0.05</v>
      </c>
      <c r="J25" s="386" t="n">
        <f aca="false">J14</f>
        <v>0.05</v>
      </c>
      <c r="K25" s="386" t="n">
        <f aca="false">K14</f>
        <v>0.05</v>
      </c>
      <c r="L25" s="386" t="n">
        <f aca="false">L14</f>
        <v>0.05</v>
      </c>
      <c r="M25" s="386" t="n">
        <f aca="false">M14</f>
        <v>0.05</v>
      </c>
      <c r="N25" s="386" t="n">
        <f aca="false">N14</f>
        <v>0.05</v>
      </c>
      <c r="O25" s="386" t="n">
        <f aca="false">O14</f>
        <v>0.05</v>
      </c>
      <c r="P25" s="386" t="n">
        <f aca="false">P14</f>
        <v>0.05</v>
      </c>
      <c r="Q25" s="386" t="n">
        <f aca="false">Q14</f>
        <v>0.05</v>
      </c>
      <c r="R25" s="386" t="n">
        <f aca="false">R14</f>
        <v>0.05</v>
      </c>
      <c r="S25" s="386" t="n">
        <f aca="false">S14</f>
        <v>0.05</v>
      </c>
      <c r="T25" s="386" t="n">
        <f aca="false">T14</f>
        <v>0.05</v>
      </c>
      <c r="U25" s="386" t="n">
        <f aca="false">U14</f>
        <v>0.05</v>
      </c>
      <c r="V25" s="386" t="n">
        <f aca="false">V14</f>
        <v>0.05</v>
      </c>
      <c r="W25" s="386" t="n">
        <f aca="false">W14</f>
        <v>0.05</v>
      </c>
      <c r="X25" s="386" t="n">
        <f aca="false">X14</f>
        <v>0.05</v>
      </c>
      <c r="Y25" s="386" t="n">
        <f aca="false">Y14</f>
        <v>0</v>
      </c>
      <c r="Z25" s="386" t="n">
        <f aca="false">Z14</f>
        <v>0</v>
      </c>
      <c r="AA25" s="386"/>
      <c r="AB25" s="0"/>
      <c r="AC25" s="0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  <c r="AP25" s="438"/>
      <c r="AQ25" s="438"/>
      <c r="AR25" s="438"/>
      <c r="AS25" s="438"/>
      <c r="AT25" s="438"/>
      <c r="AU25" s="438"/>
      <c r="AV25" s="438"/>
      <c r="AW25" s="438"/>
      <c r="AX25" s="438"/>
      <c r="AY25" s="438"/>
      <c r="AZ25" s="438"/>
      <c r="BA25" s="438"/>
      <c r="BB25" s="438"/>
      <c r="BC25" s="438"/>
      <c r="BD25" s="438"/>
      <c r="BE25" s="438"/>
      <c r="BF25" s="438"/>
      <c r="BG25" s="438"/>
      <c r="BH25" s="438"/>
      <c r="BI25" s="438"/>
      <c r="BJ25" s="438"/>
      <c r="BK25" s="438"/>
      <c r="BL25" s="438"/>
      <c r="BM25" s="438"/>
      <c r="BN25" s="438"/>
      <c r="BO25" s="438"/>
      <c r="BP25" s="438"/>
      <c r="BQ25" s="438"/>
      <c r="BR25" s="438"/>
      <c r="BS25" s="438"/>
      <c r="BT25" s="438"/>
      <c r="BU25" s="438"/>
      <c r="BV25" s="438"/>
      <c r="BW25" s="438"/>
      <c r="BX25" s="438"/>
      <c r="BY25" s="438"/>
      <c r="BZ25" s="438"/>
      <c r="CA25" s="438"/>
      <c r="CB25" s="438"/>
      <c r="CC25" s="438"/>
      <c r="CD25" s="438"/>
      <c r="CE25" s="438"/>
      <c r="CF25" s="438"/>
      <c r="CG25" s="438"/>
      <c r="CH25" s="438"/>
      <c r="CI25" s="438"/>
      <c r="CJ25" s="438"/>
      <c r="CK25" s="438"/>
      <c r="CL25" s="438"/>
      <c r="CM25" s="438"/>
      <c r="CN25" s="438"/>
      <c r="CO25" s="438"/>
      <c r="CP25" s="438"/>
      <c r="CQ25" s="438"/>
      <c r="CR25" s="438"/>
      <c r="CS25" s="438"/>
      <c r="CT25" s="438"/>
      <c r="CU25" s="438"/>
      <c r="CV25" s="438"/>
      <c r="CW25" s="438"/>
      <c r="CX25" s="438"/>
      <c r="CY25" s="438"/>
      <c r="CZ25" s="438"/>
      <c r="DA25" s="438"/>
      <c r="DB25" s="438"/>
      <c r="DC25" s="438"/>
      <c r="DD25" s="438"/>
      <c r="DE25" s="438"/>
      <c r="DF25" s="438"/>
      <c r="DG25" s="438"/>
      <c r="DH25" s="438"/>
      <c r="DI25" s="438"/>
      <c r="DJ25" s="438"/>
      <c r="DK25" s="438"/>
      <c r="DL25" s="438"/>
      <c r="DM25" s="438"/>
      <c r="DN25" s="438"/>
      <c r="DO25" s="438"/>
      <c r="DP25" s="438"/>
      <c r="DQ25" s="438"/>
      <c r="DR25" s="438"/>
      <c r="DS25" s="438"/>
      <c r="DT25" s="438"/>
      <c r="DU25" s="438"/>
      <c r="DV25" s="438"/>
      <c r="DW25" s="438"/>
      <c r="DX25" s="438"/>
      <c r="DY25" s="438"/>
      <c r="DZ25" s="438"/>
      <c r="EA25" s="438"/>
      <c r="EB25" s="438"/>
      <c r="EC25" s="438"/>
      <c r="ED25" s="438"/>
      <c r="EE25" s="438"/>
      <c r="EF25" s="438"/>
      <c r="EG25" s="438"/>
      <c r="EH25" s="438"/>
      <c r="EI25" s="438"/>
      <c r="EJ25" s="438"/>
      <c r="EK25" s="438"/>
      <c r="EL25" s="438"/>
      <c r="EM25" s="438"/>
      <c r="EN25" s="438"/>
      <c r="EO25" s="438"/>
      <c r="EP25" s="438"/>
      <c r="EQ25" s="438"/>
      <c r="ER25" s="438"/>
      <c r="ES25" s="438"/>
      <c r="ET25" s="438"/>
      <c r="EU25" s="438"/>
      <c r="EV25" s="438"/>
      <c r="EW25" s="438"/>
      <c r="EX25" s="438"/>
      <c r="EY25" s="438"/>
      <c r="EZ25" s="438"/>
      <c r="FA25" s="438"/>
      <c r="FB25" s="438"/>
      <c r="FC25" s="438"/>
      <c r="FD25" s="438"/>
      <c r="FE25" s="438"/>
      <c r="FF25" s="438"/>
      <c r="FG25" s="438"/>
      <c r="FH25" s="438"/>
      <c r="FI25" s="438"/>
      <c r="FJ25" s="438"/>
      <c r="FK25" s="438"/>
      <c r="FL25" s="438"/>
      <c r="FM25" s="438"/>
      <c r="FN25" s="438"/>
      <c r="FO25" s="438"/>
      <c r="FP25" s="438"/>
      <c r="FQ25" s="438"/>
      <c r="FR25" s="438"/>
      <c r="FS25" s="438"/>
      <c r="FT25" s="438"/>
      <c r="FU25" s="438"/>
      <c r="FV25" s="438"/>
      <c r="FW25" s="438"/>
      <c r="FX25" s="438"/>
      <c r="FY25" s="438"/>
      <c r="FZ25" s="438"/>
      <c r="GA25" s="438"/>
      <c r="GB25" s="438"/>
      <c r="GC25" s="438"/>
      <c r="GD25" s="438"/>
      <c r="GE25" s="438"/>
      <c r="GF25" s="438"/>
      <c r="GG25" s="438"/>
      <c r="GH25" s="438"/>
      <c r="GI25" s="438"/>
      <c r="GJ25" s="438"/>
      <c r="GK25" s="438"/>
      <c r="GL25" s="438"/>
      <c r="GM25" s="438"/>
      <c r="GN25" s="438"/>
      <c r="GO25" s="438"/>
      <c r="GP25" s="438"/>
      <c r="GQ25" s="438"/>
      <c r="GR25" s="438"/>
      <c r="GS25" s="438"/>
      <c r="GT25" s="438"/>
      <c r="GU25" s="438"/>
      <c r="GV25" s="438"/>
      <c r="GW25" s="438"/>
      <c r="GX25" s="438"/>
      <c r="GY25" s="438"/>
      <c r="GZ25" s="438"/>
      <c r="HA25" s="438"/>
      <c r="HB25" s="438"/>
      <c r="HC25" s="438"/>
      <c r="HD25" s="438"/>
      <c r="HE25" s="438"/>
      <c r="HF25" s="438"/>
      <c r="HG25" s="438"/>
      <c r="HH25" s="438"/>
      <c r="HI25" s="438"/>
      <c r="HJ25" s="438"/>
      <c r="HK25" s="438"/>
      <c r="HL25" s="438"/>
      <c r="HM25" s="438"/>
      <c r="HN25" s="438"/>
      <c r="HO25" s="438"/>
      <c r="HP25" s="438"/>
      <c r="HQ25" s="438"/>
      <c r="HR25" s="438"/>
      <c r="HS25" s="438"/>
      <c r="HT25" s="438"/>
      <c r="HU25" s="438"/>
      <c r="HV25" s="438"/>
      <c r="HW25" s="438"/>
      <c r="HX25" s="438"/>
      <c r="HY25" s="438"/>
      <c r="HZ25" s="438"/>
      <c r="IA25" s="438"/>
      <c r="IB25" s="438"/>
      <c r="IC25" s="438"/>
      <c r="ID25" s="438"/>
      <c r="IE25" s="438"/>
      <c r="IF25" s="438"/>
      <c r="IG25" s="438"/>
      <c r="IH25" s="438"/>
      <c r="II25" s="438"/>
      <c r="IJ25" s="438"/>
      <c r="IK25" s="438"/>
      <c r="IL25" s="438"/>
      <c r="IM25" s="438"/>
      <c r="IN25" s="438"/>
      <c r="IO25" s="438"/>
      <c r="IP25" s="438"/>
      <c r="IQ25" s="438"/>
      <c r="IR25" s="438"/>
      <c r="IS25" s="438"/>
      <c r="IT25" s="438"/>
      <c r="IU25" s="438"/>
      <c r="IV25" s="438"/>
      <c r="IW25" s="438"/>
    </row>
    <row r="26" customFormat="false" ht="12.75" hidden="false" customHeight="false" outlineLevel="0" collapsed="false">
      <c r="A26" s="454"/>
      <c r="B26" s="442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0"/>
      <c r="AC26" s="0"/>
      <c r="AD26" s="438"/>
      <c r="AE26" s="438"/>
      <c r="AF26" s="438"/>
      <c r="AG26" s="438"/>
      <c r="AH26" s="438"/>
      <c r="AI26" s="438"/>
      <c r="AJ26" s="438"/>
      <c r="AK26" s="438"/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438"/>
      <c r="AY26" s="438"/>
      <c r="AZ26" s="438"/>
      <c r="BA26" s="438"/>
      <c r="BB26" s="438"/>
      <c r="BC26" s="438"/>
      <c r="BD26" s="438"/>
      <c r="BE26" s="438"/>
      <c r="BF26" s="438"/>
      <c r="BG26" s="438"/>
      <c r="BH26" s="438"/>
      <c r="BI26" s="438"/>
      <c r="BJ26" s="438"/>
      <c r="BK26" s="438"/>
      <c r="BL26" s="438"/>
      <c r="BM26" s="438"/>
      <c r="BN26" s="438"/>
      <c r="BO26" s="438"/>
      <c r="BP26" s="438"/>
      <c r="BQ26" s="438"/>
      <c r="BR26" s="438"/>
      <c r="BS26" s="438"/>
      <c r="BT26" s="438"/>
      <c r="BU26" s="438"/>
      <c r="BV26" s="438"/>
      <c r="BW26" s="438"/>
      <c r="BX26" s="438"/>
      <c r="BY26" s="438"/>
      <c r="BZ26" s="438"/>
      <c r="CA26" s="438"/>
      <c r="CB26" s="438"/>
      <c r="CC26" s="438"/>
      <c r="CD26" s="438"/>
      <c r="CE26" s="438"/>
      <c r="CF26" s="438"/>
      <c r="CG26" s="438"/>
      <c r="CH26" s="438"/>
      <c r="CI26" s="438"/>
      <c r="CJ26" s="438"/>
      <c r="CK26" s="438"/>
      <c r="CL26" s="438"/>
      <c r="CM26" s="438"/>
      <c r="CN26" s="438"/>
      <c r="CO26" s="438"/>
      <c r="CP26" s="438"/>
      <c r="CQ26" s="438"/>
      <c r="CR26" s="438"/>
      <c r="CS26" s="438"/>
      <c r="CT26" s="438"/>
      <c r="CU26" s="438"/>
      <c r="CV26" s="438"/>
      <c r="CW26" s="438"/>
      <c r="CX26" s="438"/>
      <c r="CY26" s="438"/>
      <c r="CZ26" s="438"/>
      <c r="DA26" s="438"/>
      <c r="DB26" s="438"/>
      <c r="DC26" s="438"/>
      <c r="DD26" s="438"/>
      <c r="DE26" s="438"/>
      <c r="DF26" s="438"/>
      <c r="DG26" s="438"/>
      <c r="DH26" s="438"/>
      <c r="DI26" s="438"/>
      <c r="DJ26" s="438"/>
      <c r="DK26" s="438"/>
      <c r="DL26" s="438"/>
      <c r="DM26" s="438"/>
      <c r="DN26" s="438"/>
      <c r="DO26" s="438"/>
      <c r="DP26" s="438"/>
      <c r="DQ26" s="438"/>
      <c r="DR26" s="438"/>
      <c r="DS26" s="438"/>
      <c r="DT26" s="438"/>
      <c r="DU26" s="438"/>
      <c r="DV26" s="438"/>
      <c r="DW26" s="438"/>
      <c r="DX26" s="438"/>
      <c r="DY26" s="438"/>
      <c r="DZ26" s="438"/>
      <c r="EA26" s="438"/>
      <c r="EB26" s="438"/>
      <c r="EC26" s="438"/>
      <c r="ED26" s="438"/>
      <c r="EE26" s="438"/>
      <c r="EF26" s="438"/>
      <c r="EG26" s="438"/>
      <c r="EH26" s="438"/>
      <c r="EI26" s="438"/>
      <c r="EJ26" s="438"/>
      <c r="EK26" s="438"/>
      <c r="EL26" s="438"/>
      <c r="EM26" s="438"/>
      <c r="EN26" s="438"/>
      <c r="EO26" s="438"/>
      <c r="EP26" s="438"/>
      <c r="EQ26" s="438"/>
      <c r="ER26" s="438"/>
      <c r="ES26" s="438"/>
      <c r="ET26" s="438"/>
      <c r="EU26" s="438"/>
      <c r="EV26" s="438"/>
      <c r="EW26" s="438"/>
      <c r="EX26" s="438"/>
      <c r="EY26" s="438"/>
      <c r="EZ26" s="438"/>
      <c r="FA26" s="438"/>
      <c r="FB26" s="438"/>
      <c r="FC26" s="438"/>
      <c r="FD26" s="438"/>
      <c r="FE26" s="438"/>
      <c r="FF26" s="438"/>
      <c r="FG26" s="438"/>
      <c r="FH26" s="438"/>
      <c r="FI26" s="438"/>
      <c r="FJ26" s="438"/>
      <c r="FK26" s="438"/>
      <c r="FL26" s="438"/>
      <c r="FM26" s="438"/>
      <c r="FN26" s="438"/>
      <c r="FO26" s="438"/>
      <c r="FP26" s="438"/>
      <c r="FQ26" s="438"/>
      <c r="FR26" s="438"/>
      <c r="FS26" s="438"/>
      <c r="FT26" s="438"/>
      <c r="FU26" s="438"/>
      <c r="FV26" s="438"/>
      <c r="FW26" s="438"/>
      <c r="FX26" s="438"/>
      <c r="FY26" s="438"/>
      <c r="FZ26" s="438"/>
      <c r="GA26" s="438"/>
      <c r="GB26" s="438"/>
      <c r="GC26" s="438"/>
      <c r="GD26" s="438"/>
      <c r="GE26" s="438"/>
      <c r="GF26" s="438"/>
      <c r="GG26" s="438"/>
      <c r="GH26" s="438"/>
      <c r="GI26" s="438"/>
      <c r="GJ26" s="438"/>
      <c r="GK26" s="438"/>
      <c r="GL26" s="438"/>
      <c r="GM26" s="438"/>
      <c r="GN26" s="438"/>
      <c r="GO26" s="438"/>
      <c r="GP26" s="438"/>
      <c r="GQ26" s="438"/>
      <c r="GR26" s="438"/>
      <c r="GS26" s="438"/>
      <c r="GT26" s="438"/>
      <c r="GU26" s="438"/>
      <c r="GV26" s="438"/>
      <c r="GW26" s="438"/>
      <c r="GX26" s="438"/>
      <c r="GY26" s="438"/>
      <c r="GZ26" s="438"/>
      <c r="HA26" s="438"/>
      <c r="HB26" s="438"/>
      <c r="HC26" s="438"/>
      <c r="HD26" s="438"/>
      <c r="HE26" s="438"/>
      <c r="HF26" s="438"/>
      <c r="HG26" s="438"/>
      <c r="HH26" s="438"/>
      <c r="HI26" s="438"/>
      <c r="HJ26" s="438"/>
      <c r="HK26" s="438"/>
      <c r="HL26" s="438"/>
      <c r="HM26" s="438"/>
      <c r="HN26" s="438"/>
      <c r="HO26" s="438"/>
      <c r="HP26" s="438"/>
      <c r="HQ26" s="438"/>
      <c r="HR26" s="438"/>
      <c r="HS26" s="438"/>
      <c r="HT26" s="438"/>
      <c r="HU26" s="438"/>
      <c r="HV26" s="438"/>
      <c r="HW26" s="438"/>
      <c r="HX26" s="438"/>
      <c r="HY26" s="438"/>
      <c r="HZ26" s="438"/>
      <c r="IA26" s="438"/>
      <c r="IB26" s="438"/>
      <c r="IC26" s="438"/>
      <c r="ID26" s="438"/>
      <c r="IE26" s="438"/>
      <c r="IF26" s="438"/>
      <c r="IG26" s="438"/>
      <c r="IH26" s="438"/>
      <c r="II26" s="438"/>
      <c r="IJ26" s="438"/>
      <c r="IK26" s="438"/>
      <c r="IL26" s="438"/>
      <c r="IM26" s="438"/>
      <c r="IN26" s="438"/>
      <c r="IO26" s="438"/>
      <c r="IP26" s="438"/>
      <c r="IQ26" s="438"/>
      <c r="IR26" s="438"/>
      <c r="IS26" s="438"/>
      <c r="IT26" s="438"/>
      <c r="IU26" s="438"/>
      <c r="IV26" s="438"/>
      <c r="IW26" s="438"/>
    </row>
    <row r="27" customFormat="false" ht="12.75" hidden="false" customHeight="false" outlineLevel="0" collapsed="false">
      <c r="B27" s="439"/>
      <c r="AB27" s="0"/>
      <c r="AC27" s="0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  <c r="AP27" s="438"/>
      <c r="AQ27" s="438"/>
      <c r="AR27" s="438"/>
      <c r="AS27" s="438"/>
      <c r="AT27" s="438"/>
      <c r="AU27" s="438"/>
      <c r="AV27" s="438"/>
      <c r="AW27" s="438"/>
      <c r="AX27" s="438"/>
      <c r="AY27" s="438"/>
      <c r="AZ27" s="438"/>
      <c r="BA27" s="438"/>
      <c r="BB27" s="438"/>
      <c r="BC27" s="438"/>
      <c r="BD27" s="438"/>
      <c r="BE27" s="438"/>
      <c r="BF27" s="438"/>
      <c r="BG27" s="438"/>
      <c r="BH27" s="438"/>
      <c r="BI27" s="438"/>
      <c r="BJ27" s="438"/>
      <c r="BK27" s="438"/>
      <c r="BL27" s="438"/>
      <c r="BM27" s="438"/>
      <c r="BN27" s="438"/>
      <c r="BO27" s="438"/>
      <c r="BP27" s="438"/>
      <c r="BQ27" s="438"/>
      <c r="BR27" s="438"/>
      <c r="BS27" s="438"/>
      <c r="BT27" s="438"/>
      <c r="BU27" s="438"/>
      <c r="BV27" s="438"/>
      <c r="BW27" s="438"/>
      <c r="BX27" s="438"/>
      <c r="BY27" s="438"/>
      <c r="BZ27" s="438"/>
      <c r="CA27" s="438"/>
      <c r="CB27" s="438"/>
      <c r="CC27" s="438"/>
      <c r="CD27" s="438"/>
      <c r="CE27" s="438"/>
      <c r="CF27" s="438"/>
      <c r="CG27" s="438"/>
      <c r="CH27" s="438"/>
      <c r="CI27" s="438"/>
      <c r="CJ27" s="438"/>
      <c r="CK27" s="438"/>
      <c r="CL27" s="438"/>
      <c r="CM27" s="438"/>
      <c r="CN27" s="438"/>
      <c r="CO27" s="438"/>
      <c r="CP27" s="438"/>
      <c r="CQ27" s="438"/>
      <c r="CR27" s="438"/>
      <c r="CS27" s="438"/>
      <c r="CT27" s="438"/>
      <c r="CU27" s="438"/>
      <c r="CV27" s="438"/>
      <c r="CW27" s="438"/>
      <c r="CX27" s="438"/>
      <c r="CY27" s="438"/>
      <c r="CZ27" s="438"/>
      <c r="DA27" s="438"/>
      <c r="DB27" s="438"/>
      <c r="DC27" s="438"/>
      <c r="DD27" s="438"/>
      <c r="DE27" s="438"/>
      <c r="DF27" s="438"/>
      <c r="DG27" s="438"/>
      <c r="DH27" s="438"/>
      <c r="DI27" s="438"/>
      <c r="DJ27" s="438"/>
      <c r="DK27" s="438"/>
      <c r="DL27" s="438"/>
      <c r="DM27" s="438"/>
      <c r="DN27" s="438"/>
      <c r="DO27" s="438"/>
      <c r="DP27" s="438"/>
      <c r="DQ27" s="438"/>
      <c r="DR27" s="438"/>
      <c r="DS27" s="438"/>
      <c r="DT27" s="438"/>
      <c r="DU27" s="438"/>
      <c r="DV27" s="438"/>
      <c r="DW27" s="438"/>
      <c r="DX27" s="438"/>
      <c r="DY27" s="438"/>
      <c r="DZ27" s="438"/>
      <c r="EA27" s="438"/>
      <c r="EB27" s="438"/>
      <c r="EC27" s="438"/>
      <c r="ED27" s="438"/>
      <c r="EE27" s="438"/>
      <c r="EF27" s="438"/>
      <c r="EG27" s="438"/>
      <c r="EH27" s="438"/>
      <c r="EI27" s="438"/>
      <c r="EJ27" s="438"/>
      <c r="EK27" s="438"/>
      <c r="EL27" s="438"/>
      <c r="EM27" s="438"/>
      <c r="EN27" s="438"/>
      <c r="EO27" s="438"/>
      <c r="EP27" s="438"/>
      <c r="EQ27" s="438"/>
      <c r="ER27" s="438"/>
      <c r="ES27" s="438"/>
      <c r="ET27" s="438"/>
      <c r="EU27" s="438"/>
      <c r="EV27" s="438"/>
      <c r="EW27" s="438"/>
      <c r="EX27" s="438"/>
      <c r="EY27" s="438"/>
      <c r="EZ27" s="438"/>
      <c r="FA27" s="438"/>
      <c r="FB27" s="438"/>
      <c r="FC27" s="438"/>
      <c r="FD27" s="438"/>
      <c r="FE27" s="438"/>
      <c r="FF27" s="438"/>
      <c r="FG27" s="438"/>
      <c r="FH27" s="438"/>
      <c r="FI27" s="438"/>
      <c r="FJ27" s="438"/>
      <c r="FK27" s="438"/>
      <c r="FL27" s="438"/>
      <c r="FM27" s="438"/>
      <c r="FN27" s="438"/>
      <c r="FO27" s="438"/>
      <c r="FP27" s="438"/>
      <c r="FQ27" s="438"/>
      <c r="FR27" s="438"/>
      <c r="FS27" s="438"/>
      <c r="FT27" s="438"/>
      <c r="FU27" s="438"/>
      <c r="FV27" s="438"/>
      <c r="FW27" s="438"/>
      <c r="FX27" s="438"/>
      <c r="FY27" s="438"/>
      <c r="FZ27" s="438"/>
      <c r="GA27" s="438"/>
      <c r="GB27" s="438"/>
      <c r="GC27" s="438"/>
      <c r="GD27" s="438"/>
      <c r="GE27" s="438"/>
      <c r="GF27" s="438"/>
      <c r="GG27" s="438"/>
      <c r="GH27" s="438"/>
      <c r="GI27" s="438"/>
      <c r="GJ27" s="438"/>
      <c r="GK27" s="438"/>
      <c r="GL27" s="438"/>
      <c r="GM27" s="438"/>
      <c r="GN27" s="438"/>
      <c r="GO27" s="438"/>
      <c r="GP27" s="438"/>
      <c r="GQ27" s="438"/>
      <c r="GR27" s="438"/>
      <c r="GS27" s="438"/>
      <c r="GT27" s="438"/>
      <c r="GU27" s="438"/>
      <c r="GV27" s="438"/>
      <c r="GW27" s="438"/>
      <c r="GX27" s="438"/>
      <c r="GY27" s="438"/>
      <c r="GZ27" s="438"/>
      <c r="HA27" s="438"/>
      <c r="HB27" s="438"/>
      <c r="HC27" s="438"/>
      <c r="HD27" s="438"/>
      <c r="HE27" s="438"/>
      <c r="HF27" s="438"/>
      <c r="HG27" s="438"/>
      <c r="HH27" s="438"/>
      <c r="HI27" s="438"/>
      <c r="HJ27" s="438"/>
      <c r="HK27" s="438"/>
      <c r="HL27" s="438"/>
      <c r="HM27" s="438"/>
      <c r="HN27" s="438"/>
      <c r="HO27" s="438"/>
      <c r="HP27" s="438"/>
      <c r="HQ27" s="438"/>
      <c r="HR27" s="438"/>
      <c r="HS27" s="438"/>
      <c r="HT27" s="438"/>
      <c r="HU27" s="438"/>
      <c r="HV27" s="438"/>
      <c r="HW27" s="438"/>
      <c r="HX27" s="438"/>
      <c r="HY27" s="438"/>
      <c r="HZ27" s="438"/>
      <c r="IA27" s="438"/>
      <c r="IB27" s="438"/>
      <c r="IC27" s="438"/>
      <c r="ID27" s="438"/>
      <c r="IE27" s="438"/>
      <c r="IF27" s="438"/>
      <c r="IG27" s="438"/>
      <c r="IH27" s="438"/>
      <c r="II27" s="438"/>
      <c r="IJ27" s="438"/>
      <c r="IK27" s="438"/>
      <c r="IL27" s="438"/>
      <c r="IM27" s="438"/>
      <c r="IN27" s="438"/>
      <c r="IO27" s="438"/>
      <c r="IP27" s="438"/>
      <c r="IQ27" s="438"/>
      <c r="IR27" s="438"/>
      <c r="IS27" s="438"/>
      <c r="IT27" s="438"/>
      <c r="IU27" s="438"/>
      <c r="IV27" s="438"/>
      <c r="IW27" s="438"/>
    </row>
    <row r="28" customFormat="false" ht="12.75" hidden="false" customHeight="false" outlineLevel="0" collapsed="false">
      <c r="A28" s="441" t="s">
        <v>333</v>
      </c>
      <c r="B28" s="450" t="n">
        <f aca="false">B16</f>
        <v>99618</v>
      </c>
      <c r="C28" s="451"/>
      <c r="D28" s="451"/>
      <c r="E28" s="450" t="n">
        <f aca="false">$B$28*E24</f>
        <v>4980.9</v>
      </c>
      <c r="F28" s="450" t="n">
        <f aca="false">$B$28*F24</f>
        <v>9463.71</v>
      </c>
      <c r="G28" s="450" t="n">
        <f aca="false">$B$28*G24</f>
        <v>8517.339</v>
      </c>
      <c r="H28" s="450" t="n">
        <f aca="false">$B$28*H24</f>
        <v>7670.586</v>
      </c>
      <c r="I28" s="450" t="n">
        <f aca="false">$B$28*I24</f>
        <v>6903.5274</v>
      </c>
      <c r="J28" s="450" t="n">
        <f aca="false">$B$28*J24</f>
        <v>6206.2014</v>
      </c>
      <c r="K28" s="450" t="n">
        <f aca="false">$B$28*K24</f>
        <v>5877.462</v>
      </c>
      <c r="L28" s="450" t="n">
        <f aca="false">$B$28*L24</f>
        <v>5887.4238</v>
      </c>
      <c r="M28" s="450" t="n">
        <f aca="false">$B$28*M24</f>
        <v>5877.462</v>
      </c>
      <c r="N28" s="450" t="n">
        <f aca="false">$B$28*N24</f>
        <v>5887.4238</v>
      </c>
      <c r="O28" s="450" t="n">
        <f aca="false">$B$28*O24</f>
        <v>5877.462</v>
      </c>
      <c r="P28" s="450" t="n">
        <f aca="false">$B$28*P24</f>
        <v>5887.4238</v>
      </c>
      <c r="Q28" s="450" t="n">
        <f aca="false">$B$28*Q24</f>
        <v>5877.462</v>
      </c>
      <c r="R28" s="450" t="n">
        <f aca="false">$B$28*R24</f>
        <v>5887.4238</v>
      </c>
      <c r="S28" s="450" t="n">
        <f aca="false">$B$28*S24</f>
        <v>5877.462</v>
      </c>
      <c r="T28" s="450" t="n">
        <f aca="false">$B$28*T24</f>
        <v>2938.731</v>
      </c>
      <c r="U28" s="450" t="n">
        <f aca="false">$B$28*U24</f>
        <v>0</v>
      </c>
      <c r="V28" s="450" t="n">
        <f aca="false">$B$28*V24</f>
        <v>0</v>
      </c>
      <c r="W28" s="450" t="n">
        <f aca="false">$B$28*W24</f>
        <v>0</v>
      </c>
      <c r="X28" s="450" t="n">
        <f aca="false">$B$28*X24</f>
        <v>0</v>
      </c>
      <c r="Y28" s="450" t="n">
        <f aca="false">$B$28*Y24</f>
        <v>0</v>
      </c>
      <c r="Z28" s="450" t="n">
        <f aca="false">$B$28*Z24</f>
        <v>0</v>
      </c>
      <c r="AA28" s="450"/>
      <c r="AB28" s="0"/>
      <c r="AC28" s="0"/>
      <c r="AD28" s="458"/>
      <c r="AE28" s="458"/>
      <c r="AF28" s="458"/>
      <c r="AG28" s="458"/>
      <c r="AH28" s="458"/>
      <c r="AI28" s="458"/>
      <c r="AJ28" s="458"/>
      <c r="AK28" s="458"/>
      <c r="AL28" s="458"/>
      <c r="AM28" s="458"/>
      <c r="AN28" s="458"/>
      <c r="AO28" s="458"/>
      <c r="AP28" s="458"/>
      <c r="AQ28" s="458"/>
      <c r="AR28" s="458"/>
      <c r="AS28" s="458"/>
      <c r="AT28" s="458"/>
      <c r="AU28" s="458"/>
      <c r="AV28" s="458"/>
      <c r="AW28" s="458"/>
      <c r="AX28" s="458"/>
      <c r="AY28" s="458"/>
      <c r="AZ28" s="458"/>
      <c r="BA28" s="458"/>
      <c r="BB28" s="458"/>
      <c r="BC28" s="458"/>
      <c r="BD28" s="458"/>
      <c r="BE28" s="458"/>
      <c r="BF28" s="458"/>
      <c r="BG28" s="458"/>
      <c r="BH28" s="458"/>
      <c r="BI28" s="458"/>
      <c r="BJ28" s="458"/>
      <c r="BK28" s="458"/>
      <c r="BL28" s="458"/>
      <c r="BM28" s="458"/>
      <c r="BN28" s="458"/>
      <c r="BO28" s="458"/>
      <c r="BP28" s="458"/>
      <c r="BQ28" s="458"/>
      <c r="BR28" s="458"/>
      <c r="BS28" s="458"/>
      <c r="BT28" s="458"/>
      <c r="BU28" s="458"/>
      <c r="BV28" s="458"/>
      <c r="BW28" s="458"/>
      <c r="BX28" s="458"/>
      <c r="BY28" s="458"/>
      <c r="BZ28" s="458"/>
      <c r="CA28" s="458"/>
      <c r="CB28" s="458"/>
      <c r="CC28" s="458"/>
      <c r="CD28" s="458"/>
      <c r="CE28" s="458"/>
      <c r="CF28" s="458"/>
      <c r="CG28" s="458"/>
      <c r="CH28" s="458"/>
      <c r="CI28" s="458"/>
      <c r="CJ28" s="458"/>
      <c r="CK28" s="458"/>
      <c r="CL28" s="458"/>
      <c r="CM28" s="458"/>
      <c r="CN28" s="458"/>
      <c r="CO28" s="458"/>
      <c r="CP28" s="458"/>
      <c r="CQ28" s="458"/>
      <c r="CR28" s="458"/>
      <c r="CS28" s="458"/>
      <c r="CT28" s="458"/>
      <c r="CU28" s="458"/>
      <c r="CV28" s="458"/>
      <c r="CW28" s="458"/>
      <c r="CX28" s="458"/>
      <c r="CY28" s="458"/>
      <c r="CZ28" s="458"/>
      <c r="DA28" s="458"/>
      <c r="DB28" s="458"/>
      <c r="DC28" s="458"/>
      <c r="DD28" s="458"/>
      <c r="DE28" s="458"/>
      <c r="DF28" s="458"/>
      <c r="DG28" s="458"/>
      <c r="DH28" s="458"/>
      <c r="DI28" s="458"/>
      <c r="DJ28" s="458"/>
      <c r="DK28" s="458"/>
      <c r="DL28" s="458"/>
      <c r="DM28" s="458"/>
      <c r="DN28" s="458"/>
      <c r="DO28" s="458"/>
      <c r="DP28" s="458"/>
      <c r="DQ28" s="458"/>
      <c r="DR28" s="458"/>
      <c r="DS28" s="458"/>
      <c r="DT28" s="458"/>
      <c r="DU28" s="458"/>
      <c r="DV28" s="458"/>
      <c r="DW28" s="458"/>
      <c r="DX28" s="458"/>
      <c r="DY28" s="458"/>
      <c r="DZ28" s="458"/>
      <c r="EA28" s="458"/>
      <c r="EB28" s="458"/>
      <c r="EC28" s="458"/>
      <c r="ED28" s="458"/>
      <c r="EE28" s="458"/>
      <c r="EF28" s="458"/>
      <c r="EG28" s="458"/>
      <c r="EH28" s="458"/>
      <c r="EI28" s="458"/>
      <c r="EJ28" s="458"/>
      <c r="EK28" s="458"/>
      <c r="EL28" s="458"/>
      <c r="EM28" s="458"/>
      <c r="EN28" s="458"/>
      <c r="EO28" s="458"/>
      <c r="EP28" s="458"/>
      <c r="EQ28" s="458"/>
      <c r="ER28" s="458"/>
      <c r="ES28" s="458"/>
      <c r="ET28" s="458"/>
      <c r="EU28" s="458"/>
      <c r="EV28" s="458"/>
      <c r="EW28" s="458"/>
      <c r="EX28" s="458"/>
      <c r="EY28" s="458"/>
      <c r="EZ28" s="458"/>
      <c r="FA28" s="458"/>
      <c r="FB28" s="458"/>
      <c r="FC28" s="458"/>
      <c r="FD28" s="458"/>
      <c r="FE28" s="458"/>
      <c r="FF28" s="458"/>
      <c r="FG28" s="458"/>
      <c r="FH28" s="458"/>
      <c r="FI28" s="458"/>
      <c r="FJ28" s="458"/>
      <c r="FK28" s="458"/>
      <c r="FL28" s="458"/>
      <c r="FM28" s="458"/>
      <c r="FN28" s="458"/>
      <c r="FO28" s="458"/>
      <c r="FP28" s="458"/>
      <c r="FQ28" s="458"/>
      <c r="FR28" s="458"/>
      <c r="FS28" s="458"/>
      <c r="FT28" s="458"/>
      <c r="FU28" s="458"/>
      <c r="FV28" s="458"/>
      <c r="FW28" s="458"/>
      <c r="FX28" s="458"/>
      <c r="FY28" s="458"/>
      <c r="FZ28" s="458"/>
      <c r="GA28" s="458"/>
      <c r="GB28" s="458"/>
      <c r="GC28" s="458"/>
      <c r="GD28" s="458"/>
      <c r="GE28" s="458"/>
      <c r="GF28" s="458"/>
      <c r="GG28" s="458"/>
      <c r="GH28" s="458"/>
      <c r="GI28" s="458"/>
      <c r="GJ28" s="458"/>
      <c r="GK28" s="458"/>
      <c r="GL28" s="458"/>
      <c r="GM28" s="458"/>
      <c r="GN28" s="458"/>
      <c r="GO28" s="458"/>
      <c r="GP28" s="458"/>
      <c r="GQ28" s="458"/>
      <c r="GR28" s="458"/>
      <c r="GS28" s="458"/>
      <c r="GT28" s="458"/>
      <c r="GU28" s="458"/>
      <c r="GV28" s="458"/>
      <c r="GW28" s="458"/>
      <c r="GX28" s="458"/>
      <c r="GY28" s="458"/>
      <c r="GZ28" s="458"/>
      <c r="HA28" s="458"/>
      <c r="HB28" s="458"/>
      <c r="HC28" s="458"/>
      <c r="HD28" s="458"/>
      <c r="HE28" s="458"/>
      <c r="HF28" s="458"/>
      <c r="HG28" s="458"/>
      <c r="HH28" s="458"/>
      <c r="HI28" s="458"/>
      <c r="HJ28" s="458"/>
      <c r="HK28" s="458"/>
      <c r="HL28" s="458"/>
      <c r="HM28" s="458"/>
      <c r="HN28" s="458"/>
      <c r="HO28" s="458"/>
      <c r="HP28" s="458"/>
      <c r="HQ28" s="458"/>
      <c r="HR28" s="458"/>
      <c r="HS28" s="458"/>
      <c r="HT28" s="458"/>
      <c r="HU28" s="458"/>
      <c r="HV28" s="458"/>
      <c r="HW28" s="458"/>
      <c r="HX28" s="458"/>
      <c r="HY28" s="458"/>
      <c r="HZ28" s="458"/>
      <c r="IA28" s="458"/>
      <c r="IB28" s="458"/>
      <c r="IC28" s="458"/>
      <c r="ID28" s="458"/>
      <c r="IE28" s="458"/>
      <c r="IF28" s="458"/>
      <c r="IG28" s="458"/>
      <c r="IH28" s="458"/>
      <c r="II28" s="458"/>
      <c r="IJ28" s="458"/>
      <c r="IK28" s="458"/>
      <c r="IL28" s="458"/>
      <c r="IM28" s="458"/>
      <c r="IN28" s="458"/>
      <c r="IO28" s="458"/>
      <c r="IP28" s="458"/>
      <c r="IQ28" s="458"/>
      <c r="IR28" s="458"/>
      <c r="IS28" s="458"/>
      <c r="IT28" s="458"/>
      <c r="IU28" s="458"/>
      <c r="IV28" s="458"/>
      <c r="IW28" s="458"/>
    </row>
    <row r="29" customFormat="false" ht="15" hidden="false" customHeight="false" outlineLevel="0" collapsed="false">
      <c r="A29" s="445" t="s">
        <v>332</v>
      </c>
      <c r="B29" s="452" t="n">
        <f aca="false">B17</f>
        <v>0</v>
      </c>
      <c r="C29" s="451"/>
      <c r="D29" s="451"/>
      <c r="E29" s="452" t="n">
        <f aca="false">$B29*E25</f>
        <v>0</v>
      </c>
      <c r="F29" s="452" t="n">
        <f aca="false">$B29*F25</f>
        <v>0</v>
      </c>
      <c r="G29" s="452" t="n">
        <f aca="false">$B29*G25</f>
        <v>0</v>
      </c>
      <c r="H29" s="452" t="n">
        <f aca="false">$B29*H25</f>
        <v>0</v>
      </c>
      <c r="I29" s="452" t="n">
        <f aca="false">$B29*I25</f>
        <v>0</v>
      </c>
      <c r="J29" s="452" t="n">
        <f aca="false">$B29*J25</f>
        <v>0</v>
      </c>
      <c r="K29" s="452" t="n">
        <f aca="false">$B29*K25</f>
        <v>0</v>
      </c>
      <c r="L29" s="452" t="n">
        <f aca="false">$B29*L25</f>
        <v>0</v>
      </c>
      <c r="M29" s="452" t="n">
        <f aca="false">$B29*M25</f>
        <v>0</v>
      </c>
      <c r="N29" s="452" t="n">
        <f aca="false">$B29*N25</f>
        <v>0</v>
      </c>
      <c r="O29" s="452" t="n">
        <f aca="false">$B29*O25</f>
        <v>0</v>
      </c>
      <c r="P29" s="452" t="n">
        <f aca="false">$B29*P25</f>
        <v>0</v>
      </c>
      <c r="Q29" s="452" t="n">
        <f aca="false">$B29*Q25</f>
        <v>0</v>
      </c>
      <c r="R29" s="452" t="n">
        <f aca="false">$B29*R25</f>
        <v>0</v>
      </c>
      <c r="S29" s="452" t="n">
        <f aca="false">$B29*S25</f>
        <v>0</v>
      </c>
      <c r="T29" s="452" t="n">
        <f aca="false">$B29*T25</f>
        <v>0</v>
      </c>
      <c r="U29" s="452" t="n">
        <f aca="false">$B29*U25</f>
        <v>0</v>
      </c>
      <c r="V29" s="452" t="n">
        <f aca="false">$B29*V25</f>
        <v>0</v>
      </c>
      <c r="W29" s="452" t="n">
        <f aca="false">$B29*W25</f>
        <v>0</v>
      </c>
      <c r="X29" s="452" t="n">
        <f aca="false">$B29*X25</f>
        <v>0</v>
      </c>
      <c r="Y29" s="452" t="n">
        <f aca="false">$B29*Y25</f>
        <v>0</v>
      </c>
      <c r="Z29" s="452" t="n">
        <f aca="false">$B29*Z25</f>
        <v>0</v>
      </c>
      <c r="AA29" s="452"/>
      <c r="AB29" s="0"/>
      <c r="AC29" s="0"/>
      <c r="AD29" s="438"/>
      <c r="AE29" s="438"/>
      <c r="AF29" s="438"/>
      <c r="AG29" s="438"/>
      <c r="AH29" s="438"/>
      <c r="AI29" s="438"/>
      <c r="AJ29" s="438"/>
      <c r="AK29" s="438"/>
      <c r="AL29" s="438"/>
      <c r="AM29" s="438"/>
      <c r="AN29" s="438"/>
      <c r="AO29" s="438"/>
      <c r="AP29" s="438"/>
      <c r="AQ29" s="438"/>
      <c r="AR29" s="438"/>
      <c r="AS29" s="438"/>
      <c r="AT29" s="438"/>
      <c r="AU29" s="438"/>
      <c r="AV29" s="438"/>
      <c r="AW29" s="438"/>
      <c r="AX29" s="438"/>
      <c r="AY29" s="438"/>
      <c r="AZ29" s="438"/>
      <c r="BA29" s="438"/>
      <c r="BB29" s="438"/>
      <c r="BC29" s="438"/>
      <c r="BD29" s="438"/>
      <c r="BE29" s="438"/>
      <c r="BF29" s="438"/>
      <c r="BG29" s="438"/>
      <c r="BH29" s="438"/>
      <c r="BI29" s="438"/>
      <c r="BJ29" s="438"/>
      <c r="BK29" s="438"/>
      <c r="BL29" s="438"/>
      <c r="BM29" s="438"/>
      <c r="BN29" s="438"/>
      <c r="BO29" s="438"/>
      <c r="BP29" s="438"/>
      <c r="BQ29" s="438"/>
      <c r="BR29" s="438"/>
      <c r="BS29" s="438"/>
      <c r="BT29" s="438"/>
      <c r="BU29" s="438"/>
      <c r="BV29" s="438"/>
      <c r="BW29" s="438"/>
      <c r="BX29" s="438"/>
      <c r="BY29" s="438"/>
      <c r="BZ29" s="438"/>
      <c r="CA29" s="438"/>
      <c r="CB29" s="438"/>
      <c r="CC29" s="438"/>
      <c r="CD29" s="438"/>
      <c r="CE29" s="438"/>
      <c r="CF29" s="438"/>
      <c r="CG29" s="438"/>
      <c r="CH29" s="438"/>
      <c r="CI29" s="438"/>
      <c r="CJ29" s="438"/>
      <c r="CK29" s="438"/>
      <c r="CL29" s="438"/>
      <c r="CM29" s="438"/>
      <c r="CN29" s="438"/>
      <c r="CO29" s="438"/>
      <c r="CP29" s="438"/>
      <c r="CQ29" s="438"/>
      <c r="CR29" s="438"/>
      <c r="CS29" s="438"/>
      <c r="CT29" s="438"/>
      <c r="CU29" s="438"/>
      <c r="CV29" s="438"/>
      <c r="CW29" s="438"/>
      <c r="CX29" s="438"/>
      <c r="CY29" s="438"/>
      <c r="CZ29" s="438"/>
      <c r="DA29" s="438"/>
      <c r="DB29" s="438"/>
      <c r="DC29" s="438"/>
      <c r="DD29" s="438"/>
      <c r="DE29" s="438"/>
      <c r="DF29" s="438"/>
      <c r="DG29" s="438"/>
      <c r="DH29" s="438"/>
      <c r="DI29" s="438"/>
      <c r="DJ29" s="438"/>
      <c r="DK29" s="438"/>
      <c r="DL29" s="438"/>
      <c r="DM29" s="438"/>
      <c r="DN29" s="438"/>
      <c r="DO29" s="438"/>
      <c r="DP29" s="438"/>
      <c r="DQ29" s="438"/>
      <c r="DR29" s="438"/>
      <c r="DS29" s="438"/>
      <c r="DT29" s="438"/>
      <c r="DU29" s="438"/>
      <c r="DV29" s="438"/>
      <c r="DW29" s="438"/>
      <c r="DX29" s="438"/>
      <c r="DY29" s="438"/>
      <c r="DZ29" s="438"/>
      <c r="EA29" s="438"/>
      <c r="EB29" s="438"/>
      <c r="EC29" s="438"/>
      <c r="ED29" s="438"/>
      <c r="EE29" s="438"/>
      <c r="EF29" s="438"/>
      <c r="EG29" s="438"/>
      <c r="EH29" s="438"/>
      <c r="EI29" s="438"/>
      <c r="EJ29" s="438"/>
      <c r="EK29" s="438"/>
      <c r="EL29" s="438"/>
      <c r="EM29" s="438"/>
      <c r="EN29" s="438"/>
      <c r="EO29" s="438"/>
      <c r="EP29" s="438"/>
      <c r="EQ29" s="438"/>
      <c r="ER29" s="438"/>
      <c r="ES29" s="438"/>
      <c r="ET29" s="438"/>
      <c r="EU29" s="438"/>
      <c r="EV29" s="438"/>
      <c r="EW29" s="438"/>
      <c r="EX29" s="438"/>
      <c r="EY29" s="438"/>
      <c r="EZ29" s="438"/>
      <c r="FA29" s="438"/>
      <c r="FB29" s="438"/>
      <c r="FC29" s="438"/>
      <c r="FD29" s="438"/>
      <c r="FE29" s="438"/>
      <c r="FF29" s="438"/>
      <c r="FG29" s="438"/>
      <c r="FH29" s="438"/>
      <c r="FI29" s="438"/>
      <c r="FJ29" s="438"/>
      <c r="FK29" s="438"/>
      <c r="FL29" s="438"/>
      <c r="FM29" s="438"/>
      <c r="FN29" s="438"/>
      <c r="FO29" s="438"/>
      <c r="FP29" s="438"/>
      <c r="FQ29" s="438"/>
      <c r="FR29" s="438"/>
      <c r="FS29" s="438"/>
      <c r="FT29" s="438"/>
      <c r="FU29" s="438"/>
      <c r="FV29" s="438"/>
      <c r="FW29" s="438"/>
      <c r="FX29" s="438"/>
      <c r="FY29" s="438"/>
      <c r="FZ29" s="438"/>
      <c r="GA29" s="438"/>
      <c r="GB29" s="438"/>
      <c r="GC29" s="438"/>
      <c r="GD29" s="438"/>
      <c r="GE29" s="438"/>
      <c r="GF29" s="438"/>
      <c r="GG29" s="438"/>
      <c r="GH29" s="438"/>
      <c r="GI29" s="438"/>
      <c r="GJ29" s="438"/>
      <c r="GK29" s="438"/>
      <c r="GL29" s="438"/>
      <c r="GM29" s="438"/>
      <c r="GN29" s="438"/>
      <c r="GO29" s="438"/>
      <c r="GP29" s="438"/>
      <c r="GQ29" s="438"/>
      <c r="GR29" s="438"/>
      <c r="GS29" s="438"/>
      <c r="GT29" s="438"/>
      <c r="GU29" s="438"/>
      <c r="GV29" s="438"/>
      <c r="GW29" s="438"/>
      <c r="GX29" s="438"/>
      <c r="GY29" s="438"/>
      <c r="GZ29" s="438"/>
      <c r="HA29" s="438"/>
      <c r="HB29" s="438"/>
      <c r="HC29" s="438"/>
      <c r="HD29" s="438"/>
      <c r="HE29" s="438"/>
      <c r="HF29" s="438"/>
      <c r="HG29" s="438"/>
      <c r="HH29" s="438"/>
      <c r="HI29" s="438"/>
      <c r="HJ29" s="438"/>
      <c r="HK29" s="438"/>
      <c r="HL29" s="438"/>
      <c r="HM29" s="438"/>
      <c r="HN29" s="438"/>
      <c r="HO29" s="438"/>
      <c r="HP29" s="438"/>
      <c r="HQ29" s="438"/>
      <c r="HR29" s="438"/>
      <c r="HS29" s="438"/>
      <c r="HT29" s="438"/>
      <c r="HU29" s="438"/>
      <c r="HV29" s="438"/>
      <c r="HW29" s="438"/>
      <c r="HX29" s="438"/>
      <c r="HY29" s="438"/>
      <c r="HZ29" s="438"/>
      <c r="IA29" s="438"/>
      <c r="IB29" s="438"/>
      <c r="IC29" s="438"/>
      <c r="ID29" s="438"/>
      <c r="IE29" s="438"/>
      <c r="IF29" s="438"/>
      <c r="IG29" s="438"/>
      <c r="IH29" s="438"/>
      <c r="II29" s="438"/>
      <c r="IJ29" s="438"/>
      <c r="IK29" s="438"/>
      <c r="IL29" s="438"/>
      <c r="IM29" s="438"/>
      <c r="IN29" s="438"/>
      <c r="IO29" s="438"/>
      <c r="IP29" s="438"/>
      <c r="IQ29" s="438"/>
      <c r="IR29" s="438"/>
      <c r="IS29" s="438"/>
      <c r="IT29" s="438"/>
      <c r="IU29" s="438"/>
      <c r="IV29" s="438"/>
      <c r="IW29" s="438"/>
    </row>
    <row r="30" customFormat="false" ht="12.75" hidden="false" customHeight="false" outlineLevel="0" collapsed="false">
      <c r="A30" s="454" t="s">
        <v>334</v>
      </c>
      <c r="B30" s="450" t="n">
        <f aca="false">SUM(B28:B29)</f>
        <v>99618</v>
      </c>
      <c r="C30" s="451"/>
      <c r="D30" s="451"/>
      <c r="E30" s="450" t="n">
        <f aca="false">SUM(E28:E29)</f>
        <v>4980.9</v>
      </c>
      <c r="F30" s="450" t="n">
        <f aca="false">SUM(F28:F29)</f>
        <v>9463.71</v>
      </c>
      <c r="G30" s="450" t="n">
        <f aca="false">SUM(G28:G29)</f>
        <v>8517.339</v>
      </c>
      <c r="H30" s="450" t="n">
        <f aca="false">SUM(H28:H29)</f>
        <v>7670.586</v>
      </c>
      <c r="I30" s="450" t="n">
        <f aca="false">SUM(I28:I29)</f>
        <v>6903.5274</v>
      </c>
      <c r="J30" s="450" t="n">
        <f aca="false">SUM(J28:J29)</f>
        <v>6206.2014</v>
      </c>
      <c r="K30" s="450" t="n">
        <f aca="false">SUM(K28:K29)</f>
        <v>5877.462</v>
      </c>
      <c r="L30" s="450" t="n">
        <f aca="false">SUM(L28:L29)</f>
        <v>5887.4238</v>
      </c>
      <c r="M30" s="450" t="n">
        <f aca="false">SUM(M28:M29)</f>
        <v>5877.462</v>
      </c>
      <c r="N30" s="450" t="n">
        <f aca="false">SUM(N28:N29)</f>
        <v>5887.4238</v>
      </c>
      <c r="O30" s="450" t="n">
        <f aca="false">SUM(O28:O29)</f>
        <v>5877.462</v>
      </c>
      <c r="P30" s="450" t="n">
        <f aca="false">SUM(P28:P29)</f>
        <v>5887.4238</v>
      </c>
      <c r="Q30" s="450" t="n">
        <f aca="false">SUM(Q28:Q29)</f>
        <v>5877.462</v>
      </c>
      <c r="R30" s="450" t="n">
        <f aca="false">SUM(R28:R29)</f>
        <v>5887.4238</v>
      </c>
      <c r="S30" s="450" t="n">
        <f aca="false">SUM(S28:S29)</f>
        <v>5877.462</v>
      </c>
      <c r="T30" s="450" t="n">
        <f aca="false">SUM(T28:T29)</f>
        <v>2938.731</v>
      </c>
      <c r="U30" s="450" t="n">
        <f aca="false">SUM(U28:U29)</f>
        <v>0</v>
      </c>
      <c r="V30" s="450" t="n">
        <f aca="false">SUM(V28:V29)</f>
        <v>0</v>
      </c>
      <c r="W30" s="450" t="n">
        <f aca="false">SUM(W28:W29)</f>
        <v>0</v>
      </c>
      <c r="X30" s="450" t="n">
        <f aca="false">SUM(X28:X29)</f>
        <v>0</v>
      </c>
      <c r="Y30" s="450" t="n">
        <f aca="false">SUM(Y28:Y29)</f>
        <v>0</v>
      </c>
      <c r="Z30" s="450" t="n">
        <f aca="false">SUM(Z28:Z29)</f>
        <v>0</v>
      </c>
      <c r="AA30" s="450"/>
      <c r="AB30" s="0"/>
      <c r="AC30" s="0"/>
      <c r="AD30" s="438"/>
      <c r="AE30" s="438"/>
      <c r="AF30" s="438"/>
      <c r="AG30" s="438"/>
      <c r="AH30" s="438"/>
      <c r="AI30" s="438"/>
      <c r="AJ30" s="438"/>
      <c r="AK30" s="438"/>
      <c r="AL30" s="438"/>
      <c r="AM30" s="438"/>
      <c r="AN30" s="438"/>
      <c r="AO30" s="438"/>
      <c r="AP30" s="438"/>
      <c r="AQ30" s="438"/>
      <c r="AR30" s="438"/>
      <c r="AS30" s="438"/>
      <c r="AT30" s="438"/>
      <c r="AU30" s="438"/>
      <c r="AV30" s="438"/>
      <c r="AW30" s="438"/>
      <c r="AX30" s="438"/>
      <c r="AY30" s="438"/>
      <c r="AZ30" s="438"/>
      <c r="BA30" s="438"/>
      <c r="BB30" s="438"/>
      <c r="BC30" s="438"/>
      <c r="BD30" s="438"/>
      <c r="BE30" s="438"/>
      <c r="BF30" s="438"/>
      <c r="BG30" s="438"/>
      <c r="BH30" s="438"/>
      <c r="BI30" s="438"/>
      <c r="BJ30" s="438"/>
      <c r="BK30" s="438"/>
      <c r="BL30" s="438"/>
      <c r="BM30" s="438"/>
      <c r="BN30" s="438"/>
      <c r="BO30" s="438"/>
      <c r="BP30" s="438"/>
      <c r="BQ30" s="438"/>
      <c r="BR30" s="438"/>
      <c r="BS30" s="438"/>
      <c r="BT30" s="438"/>
      <c r="BU30" s="438"/>
      <c r="BV30" s="438"/>
      <c r="BW30" s="438"/>
      <c r="BX30" s="438"/>
      <c r="BY30" s="438"/>
      <c r="BZ30" s="438"/>
      <c r="CA30" s="438"/>
      <c r="CB30" s="438"/>
      <c r="CC30" s="438"/>
      <c r="CD30" s="438"/>
      <c r="CE30" s="438"/>
      <c r="CF30" s="438"/>
      <c r="CG30" s="438"/>
      <c r="CH30" s="438"/>
      <c r="CI30" s="438"/>
      <c r="CJ30" s="438"/>
      <c r="CK30" s="438"/>
      <c r="CL30" s="438"/>
      <c r="CM30" s="438"/>
      <c r="CN30" s="438"/>
      <c r="CO30" s="438"/>
      <c r="CP30" s="438"/>
      <c r="CQ30" s="438"/>
      <c r="CR30" s="438"/>
      <c r="CS30" s="438"/>
      <c r="CT30" s="438"/>
      <c r="CU30" s="438"/>
      <c r="CV30" s="438"/>
      <c r="CW30" s="438"/>
      <c r="CX30" s="438"/>
      <c r="CY30" s="438"/>
      <c r="CZ30" s="438"/>
      <c r="DA30" s="438"/>
      <c r="DB30" s="438"/>
      <c r="DC30" s="438"/>
      <c r="DD30" s="438"/>
      <c r="DE30" s="438"/>
      <c r="DF30" s="438"/>
      <c r="DG30" s="438"/>
      <c r="DH30" s="438"/>
      <c r="DI30" s="438"/>
      <c r="DJ30" s="438"/>
      <c r="DK30" s="438"/>
      <c r="DL30" s="438"/>
      <c r="DM30" s="438"/>
      <c r="DN30" s="438"/>
      <c r="DO30" s="438"/>
      <c r="DP30" s="438"/>
      <c r="DQ30" s="438"/>
      <c r="DR30" s="438"/>
      <c r="DS30" s="438"/>
      <c r="DT30" s="438"/>
      <c r="DU30" s="438"/>
      <c r="DV30" s="438"/>
      <c r="DW30" s="438"/>
      <c r="DX30" s="438"/>
      <c r="DY30" s="438"/>
      <c r="DZ30" s="438"/>
      <c r="EA30" s="438"/>
      <c r="EB30" s="438"/>
      <c r="EC30" s="438"/>
      <c r="ED30" s="438"/>
      <c r="EE30" s="438"/>
      <c r="EF30" s="438"/>
      <c r="EG30" s="438"/>
      <c r="EH30" s="438"/>
      <c r="EI30" s="438"/>
      <c r="EJ30" s="438"/>
      <c r="EK30" s="438"/>
      <c r="EL30" s="438"/>
      <c r="EM30" s="438"/>
      <c r="EN30" s="438"/>
      <c r="EO30" s="438"/>
      <c r="EP30" s="438"/>
      <c r="EQ30" s="438"/>
      <c r="ER30" s="438"/>
      <c r="ES30" s="438"/>
      <c r="ET30" s="438"/>
      <c r="EU30" s="438"/>
      <c r="EV30" s="438"/>
      <c r="EW30" s="438"/>
      <c r="EX30" s="438"/>
      <c r="EY30" s="438"/>
      <c r="EZ30" s="438"/>
      <c r="FA30" s="438"/>
      <c r="FB30" s="438"/>
      <c r="FC30" s="438"/>
      <c r="FD30" s="438"/>
      <c r="FE30" s="438"/>
      <c r="FF30" s="438"/>
      <c r="FG30" s="438"/>
      <c r="FH30" s="438"/>
      <c r="FI30" s="438"/>
      <c r="FJ30" s="438"/>
      <c r="FK30" s="438"/>
      <c r="FL30" s="438"/>
      <c r="FM30" s="438"/>
      <c r="FN30" s="438"/>
      <c r="FO30" s="438"/>
      <c r="FP30" s="438"/>
      <c r="FQ30" s="438"/>
      <c r="FR30" s="438"/>
      <c r="FS30" s="438"/>
      <c r="FT30" s="438"/>
      <c r="FU30" s="438"/>
      <c r="FV30" s="438"/>
      <c r="FW30" s="438"/>
      <c r="FX30" s="438"/>
      <c r="FY30" s="438"/>
      <c r="FZ30" s="438"/>
      <c r="GA30" s="438"/>
      <c r="GB30" s="438"/>
      <c r="GC30" s="438"/>
      <c r="GD30" s="438"/>
      <c r="GE30" s="438"/>
      <c r="GF30" s="438"/>
      <c r="GG30" s="438"/>
      <c r="GH30" s="438"/>
      <c r="GI30" s="438"/>
      <c r="GJ30" s="438"/>
      <c r="GK30" s="438"/>
      <c r="GL30" s="438"/>
      <c r="GM30" s="438"/>
      <c r="GN30" s="438"/>
      <c r="GO30" s="438"/>
      <c r="GP30" s="438"/>
      <c r="GQ30" s="438"/>
      <c r="GR30" s="438"/>
      <c r="GS30" s="438"/>
      <c r="GT30" s="438"/>
      <c r="GU30" s="438"/>
      <c r="GV30" s="438"/>
      <c r="GW30" s="438"/>
      <c r="GX30" s="438"/>
      <c r="GY30" s="438"/>
      <c r="GZ30" s="438"/>
      <c r="HA30" s="438"/>
      <c r="HB30" s="438"/>
      <c r="HC30" s="438"/>
      <c r="HD30" s="438"/>
      <c r="HE30" s="438"/>
      <c r="HF30" s="438"/>
      <c r="HG30" s="438"/>
      <c r="HH30" s="438"/>
      <c r="HI30" s="438"/>
      <c r="HJ30" s="438"/>
      <c r="HK30" s="438"/>
      <c r="HL30" s="438"/>
      <c r="HM30" s="438"/>
      <c r="HN30" s="438"/>
      <c r="HO30" s="438"/>
      <c r="HP30" s="438"/>
      <c r="HQ30" s="438"/>
      <c r="HR30" s="438"/>
      <c r="HS30" s="438"/>
      <c r="HT30" s="438"/>
      <c r="HU30" s="438"/>
      <c r="HV30" s="438"/>
      <c r="HW30" s="438"/>
      <c r="HX30" s="438"/>
      <c r="HY30" s="438"/>
      <c r="HZ30" s="438"/>
      <c r="IA30" s="438"/>
      <c r="IB30" s="438"/>
      <c r="IC30" s="438"/>
      <c r="ID30" s="438"/>
      <c r="IE30" s="438"/>
      <c r="IF30" s="438"/>
      <c r="IG30" s="438"/>
      <c r="IH30" s="438"/>
      <c r="II30" s="438"/>
      <c r="IJ30" s="438"/>
      <c r="IK30" s="438"/>
      <c r="IL30" s="438"/>
      <c r="IM30" s="438"/>
      <c r="IN30" s="438"/>
      <c r="IO30" s="438"/>
      <c r="IP30" s="438"/>
      <c r="IQ30" s="438"/>
      <c r="IR30" s="438"/>
      <c r="IS30" s="438"/>
      <c r="IT30" s="438"/>
      <c r="IU30" s="438"/>
      <c r="IV30" s="438"/>
      <c r="IW30" s="438"/>
    </row>
    <row r="31" customFormat="false" ht="12.75" hidden="false" customHeight="false" outlineLevel="0" collapsed="false">
      <c r="A31" s="454"/>
      <c r="AB31" s="0"/>
      <c r="AC31" s="0"/>
      <c r="AD31" s="438"/>
      <c r="AE31" s="438"/>
      <c r="AF31" s="438"/>
      <c r="AG31" s="438"/>
      <c r="AH31" s="438"/>
      <c r="AI31" s="438"/>
      <c r="AJ31" s="438"/>
      <c r="AK31" s="438"/>
      <c r="AL31" s="438"/>
      <c r="AM31" s="438"/>
      <c r="AN31" s="438"/>
      <c r="AO31" s="438"/>
      <c r="AP31" s="438"/>
      <c r="AQ31" s="438"/>
      <c r="AR31" s="438"/>
      <c r="AS31" s="438"/>
      <c r="AT31" s="438"/>
      <c r="AU31" s="438"/>
      <c r="AV31" s="438"/>
      <c r="AW31" s="438"/>
      <c r="AX31" s="438"/>
      <c r="AY31" s="438"/>
      <c r="AZ31" s="438"/>
      <c r="BA31" s="438"/>
      <c r="BB31" s="438"/>
      <c r="BC31" s="438"/>
      <c r="BD31" s="438"/>
      <c r="BE31" s="438"/>
      <c r="BF31" s="438"/>
      <c r="BG31" s="438"/>
      <c r="BH31" s="438"/>
      <c r="BI31" s="438"/>
      <c r="BJ31" s="438"/>
      <c r="BK31" s="438"/>
      <c r="BL31" s="438"/>
      <c r="BM31" s="438"/>
      <c r="BN31" s="438"/>
      <c r="BO31" s="438"/>
      <c r="BP31" s="438"/>
      <c r="BQ31" s="438"/>
      <c r="BR31" s="438"/>
      <c r="BS31" s="438"/>
      <c r="BT31" s="438"/>
      <c r="BU31" s="438"/>
      <c r="BV31" s="438"/>
      <c r="BW31" s="438"/>
      <c r="BX31" s="438"/>
      <c r="BY31" s="438"/>
      <c r="BZ31" s="438"/>
      <c r="CA31" s="438"/>
      <c r="CB31" s="438"/>
      <c r="CC31" s="438"/>
      <c r="CD31" s="438"/>
      <c r="CE31" s="438"/>
      <c r="CF31" s="438"/>
      <c r="CG31" s="438"/>
      <c r="CH31" s="438"/>
      <c r="CI31" s="438"/>
      <c r="CJ31" s="438"/>
      <c r="CK31" s="438"/>
      <c r="CL31" s="438"/>
      <c r="CM31" s="438"/>
      <c r="CN31" s="438"/>
      <c r="CO31" s="438"/>
      <c r="CP31" s="438"/>
      <c r="CQ31" s="438"/>
      <c r="CR31" s="438"/>
      <c r="CS31" s="438"/>
      <c r="CT31" s="438"/>
      <c r="CU31" s="438"/>
      <c r="CV31" s="438"/>
      <c r="CW31" s="438"/>
      <c r="CX31" s="438"/>
      <c r="CY31" s="438"/>
      <c r="CZ31" s="438"/>
      <c r="DA31" s="438"/>
      <c r="DB31" s="438"/>
      <c r="DC31" s="438"/>
      <c r="DD31" s="438"/>
      <c r="DE31" s="438"/>
      <c r="DF31" s="438"/>
      <c r="DG31" s="438"/>
      <c r="DH31" s="438"/>
      <c r="DI31" s="438"/>
      <c r="DJ31" s="438"/>
      <c r="DK31" s="438"/>
      <c r="DL31" s="438"/>
      <c r="DM31" s="438"/>
      <c r="DN31" s="438"/>
      <c r="DO31" s="438"/>
      <c r="DP31" s="438"/>
      <c r="DQ31" s="438"/>
      <c r="DR31" s="438"/>
      <c r="DS31" s="438"/>
      <c r="DT31" s="438"/>
      <c r="DU31" s="438"/>
      <c r="DV31" s="438"/>
      <c r="DW31" s="438"/>
      <c r="DX31" s="438"/>
      <c r="DY31" s="438"/>
      <c r="DZ31" s="438"/>
      <c r="EA31" s="438"/>
      <c r="EB31" s="438"/>
      <c r="EC31" s="438"/>
      <c r="ED31" s="438"/>
      <c r="EE31" s="438"/>
      <c r="EF31" s="438"/>
      <c r="EG31" s="438"/>
      <c r="EH31" s="438"/>
      <c r="EI31" s="438"/>
      <c r="EJ31" s="438"/>
      <c r="EK31" s="438"/>
      <c r="EL31" s="438"/>
      <c r="EM31" s="438"/>
      <c r="EN31" s="438"/>
      <c r="EO31" s="438"/>
      <c r="EP31" s="438"/>
      <c r="EQ31" s="438"/>
      <c r="ER31" s="438"/>
      <c r="ES31" s="438"/>
      <c r="ET31" s="438"/>
      <c r="EU31" s="438"/>
      <c r="EV31" s="438"/>
      <c r="EW31" s="438"/>
      <c r="EX31" s="438"/>
      <c r="EY31" s="438"/>
      <c r="EZ31" s="438"/>
      <c r="FA31" s="438"/>
      <c r="FB31" s="438"/>
      <c r="FC31" s="438"/>
      <c r="FD31" s="438"/>
      <c r="FE31" s="438"/>
      <c r="FF31" s="438"/>
      <c r="FG31" s="438"/>
      <c r="FH31" s="438"/>
      <c r="FI31" s="438"/>
      <c r="FJ31" s="438"/>
      <c r="FK31" s="438"/>
      <c r="FL31" s="438"/>
      <c r="FM31" s="438"/>
      <c r="FN31" s="438"/>
      <c r="FO31" s="438"/>
      <c r="FP31" s="438"/>
      <c r="FQ31" s="438"/>
      <c r="FR31" s="438"/>
      <c r="FS31" s="438"/>
      <c r="FT31" s="438"/>
      <c r="FU31" s="438"/>
      <c r="FV31" s="438"/>
      <c r="FW31" s="438"/>
      <c r="FX31" s="438"/>
      <c r="FY31" s="438"/>
      <c r="FZ31" s="438"/>
      <c r="GA31" s="438"/>
      <c r="GB31" s="438"/>
      <c r="GC31" s="438"/>
      <c r="GD31" s="438"/>
      <c r="GE31" s="438"/>
      <c r="GF31" s="438"/>
      <c r="GG31" s="438"/>
      <c r="GH31" s="438"/>
      <c r="GI31" s="438"/>
      <c r="GJ31" s="438"/>
      <c r="GK31" s="438"/>
      <c r="GL31" s="438"/>
      <c r="GM31" s="438"/>
      <c r="GN31" s="438"/>
      <c r="GO31" s="438"/>
      <c r="GP31" s="438"/>
      <c r="GQ31" s="438"/>
      <c r="GR31" s="438"/>
      <c r="GS31" s="438"/>
      <c r="GT31" s="438"/>
      <c r="GU31" s="438"/>
      <c r="GV31" s="438"/>
      <c r="GW31" s="438"/>
      <c r="GX31" s="438"/>
      <c r="GY31" s="438"/>
      <c r="GZ31" s="438"/>
      <c r="HA31" s="438"/>
      <c r="HB31" s="438"/>
      <c r="HC31" s="438"/>
      <c r="HD31" s="438"/>
      <c r="HE31" s="438"/>
      <c r="HF31" s="438"/>
      <c r="HG31" s="438"/>
      <c r="HH31" s="438"/>
      <c r="HI31" s="438"/>
      <c r="HJ31" s="438"/>
      <c r="HK31" s="438"/>
      <c r="HL31" s="438"/>
      <c r="HM31" s="438"/>
      <c r="HN31" s="438"/>
      <c r="HO31" s="438"/>
      <c r="HP31" s="438"/>
      <c r="HQ31" s="438"/>
      <c r="HR31" s="438"/>
      <c r="HS31" s="438"/>
      <c r="HT31" s="438"/>
      <c r="HU31" s="438"/>
      <c r="HV31" s="438"/>
      <c r="HW31" s="438"/>
      <c r="HX31" s="438"/>
      <c r="HY31" s="438"/>
      <c r="HZ31" s="438"/>
      <c r="IA31" s="438"/>
      <c r="IB31" s="438"/>
      <c r="IC31" s="438"/>
      <c r="ID31" s="438"/>
      <c r="IE31" s="438"/>
      <c r="IF31" s="438"/>
      <c r="IG31" s="438"/>
      <c r="IH31" s="438"/>
      <c r="II31" s="438"/>
      <c r="IJ31" s="438"/>
      <c r="IK31" s="438"/>
      <c r="IL31" s="438"/>
      <c r="IM31" s="438"/>
      <c r="IN31" s="438"/>
      <c r="IO31" s="438"/>
      <c r="IP31" s="438"/>
      <c r="IQ31" s="438"/>
      <c r="IR31" s="438"/>
      <c r="IS31" s="438"/>
      <c r="IT31" s="438"/>
      <c r="IU31" s="438"/>
      <c r="IV31" s="438"/>
      <c r="IW31" s="438"/>
    </row>
    <row r="32" customFormat="false" ht="12.75" hidden="false" customHeight="false" outlineLevel="0" collapsed="false">
      <c r="A32" s="1" t="s">
        <v>335</v>
      </c>
      <c r="B32" s="317" t="n">
        <f aca="false">B30</f>
        <v>99618</v>
      </c>
      <c r="E32" s="181" t="n">
        <f aca="false">B30-E30</f>
        <v>94637.1</v>
      </c>
      <c r="F32" s="181" t="n">
        <f aca="false">E32-F30</f>
        <v>85173.39</v>
      </c>
      <c r="G32" s="181" t="n">
        <f aca="false">F32-G30</f>
        <v>76656.051</v>
      </c>
      <c r="H32" s="181" t="n">
        <f aca="false">G32-H30</f>
        <v>68985.465</v>
      </c>
      <c r="I32" s="181" t="n">
        <f aca="false">H32-I30</f>
        <v>62081.9376</v>
      </c>
      <c r="J32" s="181" t="n">
        <f aca="false">I32-J30</f>
        <v>55875.7362</v>
      </c>
      <c r="K32" s="181" t="n">
        <f aca="false">J32-K30</f>
        <v>49998.2742</v>
      </c>
      <c r="L32" s="181" t="n">
        <f aca="false">K32-L30</f>
        <v>44110.8504</v>
      </c>
      <c r="M32" s="181" t="n">
        <f aca="false">L32-M30</f>
        <v>38233.3884</v>
      </c>
      <c r="N32" s="181" t="n">
        <f aca="false">M32-N30</f>
        <v>32345.9646</v>
      </c>
      <c r="O32" s="181" t="n">
        <f aca="false">N32-O30</f>
        <v>26468.5026</v>
      </c>
      <c r="P32" s="181" t="n">
        <f aca="false">O32-P30</f>
        <v>20581.0788</v>
      </c>
      <c r="Q32" s="181" t="n">
        <f aca="false">P32-Q30</f>
        <v>14703.6168</v>
      </c>
      <c r="R32" s="181" t="n">
        <f aca="false">Q32-R30</f>
        <v>8816.19300000002</v>
      </c>
      <c r="S32" s="181" t="n">
        <f aca="false">R32-S30</f>
        <v>2938.73100000002</v>
      </c>
      <c r="T32" s="181" t="n">
        <f aca="false">S32-T30</f>
        <v>1.81898940354586E-011</v>
      </c>
      <c r="U32" s="181" t="n">
        <f aca="false">T32-U30</f>
        <v>1.81898940354586E-011</v>
      </c>
      <c r="V32" s="181" t="n">
        <f aca="false">U32-V30</f>
        <v>1.81898940354586E-011</v>
      </c>
      <c r="W32" s="181" t="n">
        <f aca="false">V32-W30</f>
        <v>1.81898940354586E-011</v>
      </c>
      <c r="X32" s="181" t="n">
        <f aca="false">W32-X30</f>
        <v>1.81898940354586E-011</v>
      </c>
      <c r="Y32" s="181" t="n">
        <f aca="false">X32-Y30</f>
        <v>1.81898940354586E-011</v>
      </c>
      <c r="Z32" s="181" t="n">
        <f aca="false">Y32-Z30</f>
        <v>1.81898940354586E-011</v>
      </c>
      <c r="AA32" s="181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438"/>
      <c r="AZ32" s="438"/>
      <c r="BA32" s="438"/>
      <c r="BB32" s="438"/>
      <c r="BC32" s="438"/>
      <c r="BD32" s="438"/>
      <c r="BE32" s="438"/>
      <c r="BF32" s="438"/>
      <c r="BG32" s="438"/>
      <c r="BH32" s="438"/>
      <c r="BI32" s="438"/>
      <c r="BJ32" s="438"/>
      <c r="BK32" s="438"/>
      <c r="BL32" s="438"/>
      <c r="BM32" s="438"/>
      <c r="BN32" s="438"/>
      <c r="BO32" s="438"/>
      <c r="BP32" s="438"/>
      <c r="BQ32" s="438"/>
      <c r="BR32" s="438"/>
      <c r="BS32" s="438"/>
      <c r="BT32" s="438"/>
      <c r="BU32" s="438"/>
      <c r="BV32" s="438"/>
      <c r="BW32" s="438"/>
      <c r="BX32" s="438"/>
      <c r="BY32" s="438"/>
      <c r="BZ32" s="438"/>
      <c r="CA32" s="438"/>
      <c r="CB32" s="438"/>
      <c r="CC32" s="438"/>
      <c r="CD32" s="438"/>
      <c r="CE32" s="438"/>
      <c r="CF32" s="438"/>
      <c r="CG32" s="438"/>
      <c r="CH32" s="438"/>
      <c r="CI32" s="438"/>
      <c r="CJ32" s="438"/>
      <c r="CK32" s="438"/>
      <c r="CL32" s="438"/>
      <c r="CM32" s="438"/>
      <c r="CN32" s="438"/>
      <c r="CO32" s="438"/>
      <c r="CP32" s="438"/>
      <c r="CQ32" s="438"/>
      <c r="CR32" s="438"/>
      <c r="CS32" s="438"/>
      <c r="CT32" s="438"/>
      <c r="CU32" s="438"/>
      <c r="CV32" s="438"/>
      <c r="CW32" s="438"/>
      <c r="CX32" s="438"/>
      <c r="CY32" s="438"/>
      <c r="CZ32" s="438"/>
      <c r="DA32" s="438"/>
      <c r="DB32" s="438"/>
      <c r="DC32" s="438"/>
      <c r="DD32" s="438"/>
      <c r="DE32" s="438"/>
      <c r="DF32" s="438"/>
      <c r="DG32" s="438"/>
      <c r="DH32" s="438"/>
      <c r="DI32" s="438"/>
      <c r="DJ32" s="438"/>
      <c r="DK32" s="438"/>
      <c r="DL32" s="438"/>
      <c r="DM32" s="438"/>
      <c r="DN32" s="438"/>
      <c r="DO32" s="438"/>
      <c r="DP32" s="438"/>
      <c r="DQ32" s="438"/>
      <c r="DR32" s="438"/>
      <c r="DS32" s="438"/>
      <c r="DT32" s="438"/>
      <c r="DU32" s="438"/>
      <c r="DV32" s="438"/>
      <c r="DW32" s="438"/>
      <c r="DX32" s="438"/>
      <c r="DY32" s="438"/>
      <c r="DZ32" s="438"/>
      <c r="EA32" s="438"/>
      <c r="EB32" s="438"/>
      <c r="EC32" s="438"/>
      <c r="ED32" s="438"/>
      <c r="EE32" s="438"/>
      <c r="EF32" s="438"/>
      <c r="EG32" s="438"/>
      <c r="EH32" s="438"/>
      <c r="EI32" s="438"/>
      <c r="EJ32" s="438"/>
      <c r="EK32" s="438"/>
      <c r="EL32" s="438"/>
      <c r="EM32" s="438"/>
      <c r="EN32" s="438"/>
      <c r="EO32" s="438"/>
      <c r="EP32" s="438"/>
      <c r="EQ32" s="438"/>
      <c r="ER32" s="438"/>
      <c r="ES32" s="438"/>
      <c r="ET32" s="438"/>
      <c r="EU32" s="438"/>
      <c r="EV32" s="438"/>
      <c r="EW32" s="438"/>
      <c r="EX32" s="438"/>
      <c r="EY32" s="438"/>
      <c r="EZ32" s="438"/>
      <c r="FA32" s="438"/>
      <c r="FB32" s="438"/>
      <c r="FC32" s="438"/>
      <c r="FD32" s="438"/>
      <c r="FE32" s="438"/>
      <c r="FF32" s="438"/>
      <c r="FG32" s="438"/>
      <c r="FH32" s="438"/>
      <c r="FI32" s="438"/>
      <c r="FJ32" s="438"/>
      <c r="FK32" s="438"/>
      <c r="FL32" s="438"/>
      <c r="FM32" s="438"/>
      <c r="FN32" s="438"/>
      <c r="FO32" s="438"/>
      <c r="FP32" s="438"/>
      <c r="FQ32" s="438"/>
      <c r="FR32" s="438"/>
      <c r="FS32" s="438"/>
      <c r="FT32" s="438"/>
      <c r="FU32" s="438"/>
      <c r="FV32" s="438"/>
      <c r="FW32" s="438"/>
      <c r="FX32" s="438"/>
      <c r="FY32" s="438"/>
      <c r="FZ32" s="438"/>
      <c r="GA32" s="438"/>
      <c r="GB32" s="438"/>
      <c r="GC32" s="438"/>
      <c r="GD32" s="438"/>
      <c r="GE32" s="438"/>
      <c r="GF32" s="438"/>
      <c r="GG32" s="438"/>
      <c r="GH32" s="438"/>
      <c r="GI32" s="438"/>
      <c r="GJ32" s="438"/>
      <c r="GK32" s="438"/>
      <c r="GL32" s="438"/>
      <c r="GM32" s="438"/>
      <c r="GN32" s="438"/>
      <c r="GO32" s="438"/>
      <c r="GP32" s="438"/>
      <c r="GQ32" s="438"/>
      <c r="GR32" s="438"/>
      <c r="GS32" s="438"/>
      <c r="GT32" s="438"/>
      <c r="GU32" s="438"/>
      <c r="GV32" s="438"/>
      <c r="GW32" s="438"/>
      <c r="GX32" s="438"/>
      <c r="GY32" s="438"/>
      <c r="GZ32" s="438"/>
      <c r="HA32" s="438"/>
      <c r="HB32" s="438"/>
      <c r="HC32" s="438"/>
      <c r="HD32" s="438"/>
      <c r="HE32" s="438"/>
      <c r="HF32" s="438"/>
      <c r="HG32" s="438"/>
      <c r="HH32" s="438"/>
      <c r="HI32" s="438"/>
      <c r="HJ32" s="438"/>
      <c r="HK32" s="438"/>
      <c r="HL32" s="438"/>
      <c r="HM32" s="438"/>
      <c r="HN32" s="438"/>
      <c r="HO32" s="438"/>
      <c r="HP32" s="438"/>
      <c r="HQ32" s="438"/>
      <c r="HR32" s="438"/>
      <c r="HS32" s="438"/>
      <c r="HT32" s="438"/>
      <c r="HU32" s="438"/>
      <c r="HV32" s="438"/>
      <c r="HW32" s="438"/>
      <c r="HX32" s="438"/>
      <c r="HY32" s="438"/>
      <c r="HZ32" s="438"/>
      <c r="IA32" s="438"/>
      <c r="IB32" s="438"/>
      <c r="IC32" s="438"/>
      <c r="ID32" s="438"/>
      <c r="IE32" s="438"/>
      <c r="IF32" s="438"/>
      <c r="IG32" s="438"/>
      <c r="IH32" s="438"/>
      <c r="II32" s="438"/>
      <c r="IJ32" s="438"/>
      <c r="IK32" s="438"/>
      <c r="IL32" s="438"/>
      <c r="IM32" s="438"/>
      <c r="IN32" s="438"/>
      <c r="IO32" s="438"/>
      <c r="IP32" s="438"/>
      <c r="IQ32" s="438"/>
      <c r="IR32" s="438"/>
      <c r="IS32" s="438"/>
      <c r="IT32" s="438"/>
      <c r="IU32" s="438"/>
      <c r="IV32" s="438"/>
      <c r="IW32" s="438"/>
    </row>
    <row r="33" customFormat="false" ht="12.75" hidden="false" customHeight="false" outlineLevel="0" collapsed="false">
      <c r="E33" s="387"/>
      <c r="AB33" s="438"/>
      <c r="AC33" s="438"/>
      <c r="AD33" s="438"/>
      <c r="AE33" s="438"/>
      <c r="AF33" s="438"/>
      <c r="AG33" s="438"/>
      <c r="AH33" s="438"/>
      <c r="AI33" s="438"/>
      <c r="AJ33" s="438"/>
      <c r="AK33" s="438"/>
      <c r="AL33" s="438"/>
      <c r="AM33" s="438"/>
      <c r="AN33" s="438"/>
      <c r="AO33" s="438"/>
      <c r="AP33" s="438"/>
      <c r="AQ33" s="438"/>
      <c r="AR33" s="438"/>
      <c r="AS33" s="438"/>
      <c r="AT33" s="438"/>
      <c r="AU33" s="438"/>
      <c r="AV33" s="438"/>
      <c r="AW33" s="438"/>
      <c r="AX33" s="438"/>
      <c r="AY33" s="438"/>
      <c r="AZ33" s="438"/>
      <c r="BA33" s="438"/>
      <c r="BB33" s="438"/>
      <c r="BC33" s="438"/>
      <c r="BD33" s="438"/>
      <c r="BE33" s="438"/>
      <c r="BF33" s="438"/>
      <c r="BG33" s="438"/>
      <c r="BH33" s="438"/>
      <c r="BI33" s="438"/>
      <c r="BJ33" s="438"/>
      <c r="BK33" s="438"/>
      <c r="BL33" s="438"/>
      <c r="BM33" s="438"/>
      <c r="BN33" s="438"/>
      <c r="BO33" s="438"/>
      <c r="BP33" s="438"/>
      <c r="BQ33" s="438"/>
      <c r="BR33" s="438"/>
      <c r="BS33" s="438"/>
      <c r="BT33" s="438"/>
      <c r="BU33" s="438"/>
      <c r="BV33" s="438"/>
      <c r="BW33" s="438"/>
      <c r="BX33" s="438"/>
      <c r="BY33" s="438"/>
      <c r="BZ33" s="438"/>
      <c r="CA33" s="438"/>
      <c r="CB33" s="438"/>
      <c r="CC33" s="438"/>
      <c r="CD33" s="438"/>
      <c r="CE33" s="438"/>
      <c r="CF33" s="438"/>
      <c r="CG33" s="438"/>
      <c r="CH33" s="438"/>
      <c r="CI33" s="438"/>
      <c r="CJ33" s="438"/>
      <c r="CK33" s="438"/>
      <c r="CL33" s="438"/>
      <c r="CM33" s="438"/>
      <c r="CN33" s="438"/>
      <c r="CO33" s="438"/>
      <c r="CP33" s="438"/>
      <c r="CQ33" s="438"/>
      <c r="CR33" s="438"/>
      <c r="CS33" s="438"/>
      <c r="CT33" s="438"/>
      <c r="CU33" s="438"/>
      <c r="CV33" s="438"/>
      <c r="CW33" s="438"/>
      <c r="CX33" s="438"/>
      <c r="CY33" s="438"/>
      <c r="CZ33" s="438"/>
      <c r="DA33" s="438"/>
      <c r="DB33" s="438"/>
      <c r="DC33" s="438"/>
      <c r="DD33" s="438"/>
      <c r="DE33" s="438"/>
      <c r="DF33" s="438"/>
      <c r="DG33" s="438"/>
      <c r="DH33" s="438"/>
      <c r="DI33" s="438"/>
      <c r="DJ33" s="438"/>
      <c r="DK33" s="438"/>
      <c r="DL33" s="438"/>
      <c r="DM33" s="438"/>
      <c r="DN33" s="438"/>
      <c r="DO33" s="438"/>
      <c r="DP33" s="438"/>
      <c r="DQ33" s="438"/>
      <c r="DR33" s="438"/>
      <c r="DS33" s="438"/>
      <c r="DT33" s="438"/>
      <c r="DU33" s="438"/>
      <c r="DV33" s="438"/>
      <c r="DW33" s="438"/>
      <c r="DX33" s="438"/>
      <c r="DY33" s="438"/>
      <c r="DZ33" s="438"/>
      <c r="EA33" s="438"/>
      <c r="EB33" s="438"/>
      <c r="EC33" s="438"/>
      <c r="ED33" s="438"/>
      <c r="EE33" s="438"/>
      <c r="EF33" s="438"/>
      <c r="EG33" s="438"/>
      <c r="EH33" s="438"/>
      <c r="EI33" s="438"/>
      <c r="EJ33" s="438"/>
      <c r="EK33" s="438"/>
      <c r="EL33" s="438"/>
      <c r="EM33" s="438"/>
      <c r="EN33" s="438"/>
      <c r="EO33" s="438"/>
      <c r="EP33" s="438"/>
      <c r="EQ33" s="438"/>
      <c r="ER33" s="438"/>
      <c r="ES33" s="438"/>
      <c r="ET33" s="438"/>
      <c r="EU33" s="438"/>
      <c r="EV33" s="438"/>
      <c r="EW33" s="438"/>
      <c r="EX33" s="438"/>
      <c r="EY33" s="438"/>
      <c r="EZ33" s="438"/>
      <c r="FA33" s="438"/>
      <c r="FB33" s="438"/>
      <c r="FC33" s="438"/>
      <c r="FD33" s="438"/>
      <c r="FE33" s="438"/>
      <c r="FF33" s="438"/>
      <c r="FG33" s="438"/>
      <c r="FH33" s="438"/>
      <c r="FI33" s="438"/>
      <c r="FJ33" s="438"/>
      <c r="FK33" s="438"/>
      <c r="FL33" s="438"/>
      <c r="FM33" s="438"/>
      <c r="FN33" s="438"/>
      <c r="FO33" s="438"/>
      <c r="FP33" s="438"/>
      <c r="FQ33" s="438"/>
      <c r="FR33" s="438"/>
      <c r="FS33" s="438"/>
      <c r="FT33" s="438"/>
      <c r="FU33" s="438"/>
      <c r="FV33" s="438"/>
      <c r="FW33" s="438"/>
      <c r="FX33" s="438"/>
      <c r="FY33" s="438"/>
      <c r="FZ33" s="438"/>
      <c r="GA33" s="438"/>
      <c r="GB33" s="438"/>
      <c r="GC33" s="438"/>
      <c r="GD33" s="438"/>
      <c r="GE33" s="438"/>
      <c r="GF33" s="438"/>
      <c r="GG33" s="438"/>
      <c r="GH33" s="438"/>
      <c r="GI33" s="438"/>
      <c r="GJ33" s="438"/>
      <c r="GK33" s="438"/>
      <c r="GL33" s="438"/>
      <c r="GM33" s="438"/>
      <c r="GN33" s="438"/>
      <c r="GO33" s="438"/>
      <c r="GP33" s="438"/>
      <c r="GQ33" s="438"/>
      <c r="GR33" s="438"/>
      <c r="GS33" s="438"/>
      <c r="GT33" s="438"/>
      <c r="GU33" s="438"/>
      <c r="GV33" s="438"/>
      <c r="GW33" s="438"/>
      <c r="GX33" s="438"/>
      <c r="GY33" s="438"/>
      <c r="GZ33" s="438"/>
      <c r="HA33" s="438"/>
      <c r="HB33" s="438"/>
      <c r="HC33" s="438"/>
      <c r="HD33" s="438"/>
      <c r="HE33" s="438"/>
      <c r="HF33" s="438"/>
      <c r="HG33" s="438"/>
      <c r="HH33" s="438"/>
      <c r="HI33" s="438"/>
      <c r="HJ33" s="438"/>
      <c r="HK33" s="438"/>
      <c r="HL33" s="438"/>
      <c r="HM33" s="438"/>
      <c r="HN33" s="438"/>
      <c r="HO33" s="438"/>
      <c r="HP33" s="438"/>
      <c r="HQ33" s="438"/>
      <c r="HR33" s="438"/>
      <c r="HS33" s="438"/>
      <c r="HT33" s="438"/>
      <c r="HU33" s="438"/>
      <c r="HV33" s="438"/>
      <c r="HW33" s="438"/>
      <c r="HX33" s="438"/>
      <c r="HY33" s="438"/>
      <c r="HZ33" s="438"/>
      <c r="IA33" s="438"/>
      <c r="IB33" s="438"/>
      <c r="IC33" s="438"/>
      <c r="ID33" s="438"/>
      <c r="IE33" s="438"/>
      <c r="IF33" s="438"/>
      <c r="IG33" s="438"/>
      <c r="IH33" s="438"/>
      <c r="II33" s="438"/>
      <c r="IJ33" s="438"/>
      <c r="IK33" s="438"/>
      <c r="IL33" s="438"/>
      <c r="IM33" s="438"/>
      <c r="IN33" s="438"/>
      <c r="IO33" s="438"/>
      <c r="IP33" s="438"/>
      <c r="IQ33" s="438"/>
      <c r="IR33" s="438"/>
      <c r="IS33" s="438"/>
      <c r="IT33" s="438"/>
      <c r="IU33" s="438"/>
      <c r="IV33" s="438"/>
      <c r="IW33" s="438"/>
    </row>
    <row r="34" customFormat="false" ht="12.75" hidden="false" customHeight="false" outlineLevel="0" collapsed="false">
      <c r="B34" s="438"/>
      <c r="C34" s="438"/>
      <c r="D34" s="459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38"/>
      <c r="AC34" s="438"/>
      <c r="AD34" s="438"/>
      <c r="AE34" s="438"/>
      <c r="AF34" s="438"/>
      <c r="AG34" s="438"/>
      <c r="AH34" s="438"/>
      <c r="AI34" s="438"/>
      <c r="AJ34" s="438"/>
      <c r="AK34" s="438"/>
      <c r="AL34" s="438"/>
      <c r="AM34" s="438"/>
      <c r="AN34" s="438"/>
      <c r="AO34" s="438"/>
      <c r="AP34" s="438"/>
      <c r="AQ34" s="438"/>
      <c r="AR34" s="438"/>
      <c r="AS34" s="438"/>
      <c r="AT34" s="438"/>
      <c r="AU34" s="438"/>
      <c r="AV34" s="438"/>
      <c r="AW34" s="438"/>
      <c r="AX34" s="438"/>
      <c r="AY34" s="438"/>
      <c r="AZ34" s="438"/>
      <c r="BA34" s="438"/>
      <c r="BB34" s="438"/>
      <c r="BC34" s="438"/>
      <c r="BD34" s="438"/>
      <c r="BE34" s="438"/>
      <c r="BF34" s="438"/>
      <c r="BG34" s="438"/>
      <c r="BH34" s="438"/>
      <c r="BI34" s="438"/>
      <c r="BJ34" s="438"/>
      <c r="BK34" s="438"/>
      <c r="BL34" s="438"/>
      <c r="BM34" s="438"/>
      <c r="BN34" s="438"/>
      <c r="BO34" s="438"/>
      <c r="BP34" s="438"/>
      <c r="BQ34" s="438"/>
      <c r="BR34" s="438"/>
      <c r="BS34" s="438"/>
      <c r="BT34" s="438"/>
      <c r="BU34" s="438"/>
      <c r="BV34" s="438"/>
      <c r="BW34" s="438"/>
      <c r="BX34" s="438"/>
      <c r="BY34" s="438"/>
      <c r="BZ34" s="438"/>
      <c r="CA34" s="438"/>
      <c r="CB34" s="438"/>
      <c r="CC34" s="438"/>
      <c r="CD34" s="438"/>
      <c r="CE34" s="438"/>
      <c r="CF34" s="438"/>
      <c r="CG34" s="438"/>
      <c r="CH34" s="438"/>
      <c r="CI34" s="438"/>
      <c r="CJ34" s="438"/>
      <c r="CK34" s="438"/>
      <c r="CL34" s="438"/>
      <c r="CM34" s="438"/>
      <c r="CN34" s="438"/>
      <c r="CO34" s="438"/>
      <c r="CP34" s="438"/>
      <c r="CQ34" s="438"/>
      <c r="CR34" s="438"/>
      <c r="CS34" s="438"/>
      <c r="CT34" s="438"/>
      <c r="CU34" s="438"/>
      <c r="CV34" s="438"/>
      <c r="CW34" s="438"/>
      <c r="CX34" s="438"/>
      <c r="CY34" s="438"/>
      <c r="CZ34" s="438"/>
      <c r="DA34" s="438"/>
      <c r="DB34" s="438"/>
      <c r="DC34" s="438"/>
      <c r="DD34" s="438"/>
      <c r="DE34" s="438"/>
      <c r="DF34" s="438"/>
      <c r="DG34" s="438"/>
      <c r="DH34" s="438"/>
      <c r="DI34" s="438"/>
      <c r="DJ34" s="438"/>
      <c r="DK34" s="438"/>
      <c r="DL34" s="438"/>
      <c r="DM34" s="438"/>
      <c r="DN34" s="438"/>
      <c r="DO34" s="438"/>
      <c r="DP34" s="438"/>
      <c r="DQ34" s="438"/>
      <c r="DR34" s="438"/>
      <c r="DS34" s="438"/>
      <c r="DT34" s="438"/>
      <c r="DU34" s="438"/>
      <c r="DV34" s="438"/>
      <c r="DW34" s="438"/>
      <c r="DX34" s="438"/>
      <c r="DY34" s="438"/>
      <c r="DZ34" s="438"/>
      <c r="EA34" s="438"/>
      <c r="EB34" s="438"/>
      <c r="EC34" s="438"/>
      <c r="ED34" s="438"/>
      <c r="EE34" s="438"/>
      <c r="EF34" s="438"/>
      <c r="EG34" s="438"/>
      <c r="EH34" s="438"/>
      <c r="EI34" s="438"/>
      <c r="EJ34" s="438"/>
      <c r="EK34" s="438"/>
      <c r="EL34" s="438"/>
      <c r="EM34" s="438"/>
      <c r="EN34" s="438"/>
      <c r="EO34" s="438"/>
      <c r="EP34" s="438"/>
      <c r="EQ34" s="438"/>
      <c r="ER34" s="438"/>
      <c r="ES34" s="438"/>
      <c r="ET34" s="438"/>
      <c r="EU34" s="438"/>
      <c r="EV34" s="438"/>
      <c r="EW34" s="438"/>
      <c r="EX34" s="438"/>
      <c r="EY34" s="438"/>
      <c r="EZ34" s="438"/>
      <c r="FA34" s="438"/>
      <c r="FB34" s="438"/>
      <c r="FC34" s="438"/>
      <c r="FD34" s="438"/>
      <c r="FE34" s="438"/>
      <c r="FF34" s="438"/>
      <c r="FG34" s="438"/>
      <c r="FH34" s="438"/>
      <c r="FI34" s="438"/>
      <c r="FJ34" s="438"/>
      <c r="FK34" s="438"/>
      <c r="FL34" s="438"/>
      <c r="FM34" s="438"/>
      <c r="FN34" s="438"/>
      <c r="FO34" s="438"/>
      <c r="FP34" s="438"/>
      <c r="FQ34" s="438"/>
      <c r="FR34" s="438"/>
      <c r="FS34" s="438"/>
      <c r="FT34" s="438"/>
      <c r="FU34" s="438"/>
      <c r="FV34" s="438"/>
      <c r="FW34" s="438"/>
      <c r="FX34" s="438"/>
      <c r="FY34" s="438"/>
      <c r="FZ34" s="438"/>
      <c r="GA34" s="438"/>
      <c r="GB34" s="438"/>
      <c r="GC34" s="438"/>
      <c r="GD34" s="438"/>
      <c r="GE34" s="438"/>
      <c r="GF34" s="438"/>
      <c r="GG34" s="438"/>
      <c r="GH34" s="438"/>
      <c r="GI34" s="438"/>
      <c r="GJ34" s="438"/>
      <c r="GK34" s="438"/>
      <c r="GL34" s="438"/>
      <c r="GM34" s="438"/>
      <c r="GN34" s="438"/>
      <c r="GO34" s="438"/>
      <c r="GP34" s="438"/>
      <c r="GQ34" s="438"/>
      <c r="GR34" s="438"/>
      <c r="GS34" s="438"/>
      <c r="GT34" s="438"/>
      <c r="GU34" s="438"/>
      <c r="GV34" s="438"/>
      <c r="GW34" s="438"/>
      <c r="GX34" s="438"/>
      <c r="GY34" s="438"/>
      <c r="GZ34" s="438"/>
      <c r="HA34" s="438"/>
      <c r="HB34" s="438"/>
      <c r="HC34" s="438"/>
      <c r="HD34" s="438"/>
      <c r="HE34" s="438"/>
      <c r="HF34" s="438"/>
      <c r="HG34" s="438"/>
      <c r="HH34" s="438"/>
      <c r="HI34" s="438"/>
      <c r="HJ34" s="438"/>
      <c r="HK34" s="438"/>
      <c r="HL34" s="438"/>
      <c r="HM34" s="438"/>
      <c r="HN34" s="438"/>
      <c r="HO34" s="438"/>
      <c r="HP34" s="438"/>
      <c r="HQ34" s="438"/>
      <c r="HR34" s="438"/>
      <c r="HS34" s="438"/>
      <c r="HT34" s="438"/>
      <c r="HU34" s="438"/>
      <c r="HV34" s="438"/>
      <c r="HW34" s="438"/>
      <c r="HX34" s="438"/>
      <c r="HY34" s="438"/>
      <c r="HZ34" s="438"/>
      <c r="IA34" s="438"/>
      <c r="IB34" s="438"/>
      <c r="IC34" s="438"/>
      <c r="ID34" s="438"/>
      <c r="IE34" s="438"/>
      <c r="IF34" s="438"/>
      <c r="IG34" s="438"/>
      <c r="IH34" s="438"/>
      <c r="II34" s="438"/>
      <c r="IJ34" s="438"/>
      <c r="IK34" s="438"/>
      <c r="IL34" s="438"/>
      <c r="IM34" s="438"/>
      <c r="IN34" s="438"/>
      <c r="IO34" s="438"/>
      <c r="IP34" s="438"/>
      <c r="IQ34" s="438"/>
      <c r="IR34" s="438"/>
      <c r="IS34" s="438"/>
      <c r="IT34" s="438"/>
      <c r="IU34" s="438"/>
      <c r="IV34" s="438"/>
      <c r="IW34" s="438"/>
    </row>
    <row r="35" customFormat="false" ht="12.75" hidden="false" customHeight="false" outlineLevel="0" collapsed="false">
      <c r="A35" s="435" t="s">
        <v>337</v>
      </c>
      <c r="B35" s="438"/>
      <c r="C35" s="438"/>
      <c r="D35" s="461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438"/>
      <c r="Z35" s="438"/>
      <c r="AA35" s="386"/>
      <c r="AB35" s="438"/>
      <c r="AC35" s="438"/>
      <c r="AD35" s="438"/>
      <c r="AE35" s="438"/>
      <c r="AF35" s="438"/>
      <c r="AG35" s="438"/>
      <c r="AH35" s="438"/>
      <c r="AI35" s="438"/>
      <c r="AJ35" s="438"/>
      <c r="AK35" s="438"/>
      <c r="AL35" s="438"/>
      <c r="AM35" s="438"/>
      <c r="AN35" s="438"/>
      <c r="AO35" s="438"/>
      <c r="AP35" s="438"/>
      <c r="AQ35" s="438"/>
      <c r="AR35" s="438"/>
      <c r="AS35" s="438"/>
      <c r="AT35" s="438"/>
      <c r="AU35" s="438"/>
      <c r="AV35" s="438"/>
      <c r="AW35" s="438"/>
      <c r="AX35" s="438"/>
      <c r="AY35" s="438"/>
      <c r="AZ35" s="438"/>
      <c r="BA35" s="438"/>
      <c r="BB35" s="438"/>
      <c r="BC35" s="438"/>
      <c r="BD35" s="438"/>
      <c r="BE35" s="438"/>
      <c r="BF35" s="438"/>
      <c r="BG35" s="438"/>
      <c r="BH35" s="438"/>
      <c r="BI35" s="438"/>
      <c r="BJ35" s="438"/>
      <c r="BK35" s="438"/>
      <c r="BL35" s="438"/>
      <c r="BM35" s="438"/>
      <c r="BN35" s="438"/>
      <c r="BO35" s="438"/>
      <c r="BP35" s="438"/>
      <c r="BQ35" s="438"/>
      <c r="BR35" s="438"/>
      <c r="BS35" s="438"/>
      <c r="BT35" s="438"/>
      <c r="BU35" s="438"/>
      <c r="BV35" s="438"/>
      <c r="BW35" s="438"/>
      <c r="BX35" s="438"/>
      <c r="BY35" s="438"/>
      <c r="BZ35" s="438"/>
      <c r="CA35" s="438"/>
      <c r="CB35" s="438"/>
      <c r="CC35" s="438"/>
      <c r="CD35" s="438"/>
      <c r="CE35" s="438"/>
      <c r="CF35" s="438"/>
      <c r="CG35" s="438"/>
      <c r="CH35" s="438"/>
      <c r="CI35" s="438"/>
      <c r="CJ35" s="438"/>
      <c r="CK35" s="438"/>
      <c r="CL35" s="438"/>
      <c r="CM35" s="438"/>
      <c r="CN35" s="438"/>
      <c r="CO35" s="438"/>
      <c r="CP35" s="438"/>
      <c r="CQ35" s="438"/>
      <c r="CR35" s="438"/>
      <c r="CS35" s="438"/>
      <c r="CT35" s="438"/>
      <c r="CU35" s="438"/>
      <c r="CV35" s="438"/>
      <c r="CW35" s="438"/>
      <c r="CX35" s="438"/>
      <c r="CY35" s="438"/>
      <c r="CZ35" s="438"/>
      <c r="DA35" s="438"/>
      <c r="DB35" s="438"/>
      <c r="DC35" s="438"/>
      <c r="DD35" s="438"/>
      <c r="DE35" s="438"/>
      <c r="DF35" s="438"/>
      <c r="DG35" s="438"/>
      <c r="DH35" s="438"/>
      <c r="DI35" s="438"/>
      <c r="DJ35" s="438"/>
      <c r="DK35" s="438"/>
      <c r="DL35" s="438"/>
      <c r="DM35" s="438"/>
      <c r="DN35" s="438"/>
      <c r="DO35" s="438"/>
      <c r="DP35" s="438"/>
      <c r="DQ35" s="438"/>
      <c r="DR35" s="438"/>
      <c r="DS35" s="438"/>
      <c r="DT35" s="438"/>
      <c r="DU35" s="438"/>
      <c r="DV35" s="438"/>
      <c r="DW35" s="438"/>
      <c r="DX35" s="438"/>
      <c r="DY35" s="438"/>
      <c r="DZ35" s="438"/>
      <c r="EA35" s="438"/>
      <c r="EB35" s="438"/>
      <c r="EC35" s="438"/>
      <c r="ED35" s="438"/>
      <c r="EE35" s="438"/>
      <c r="EF35" s="438"/>
      <c r="EG35" s="438"/>
      <c r="EH35" s="438"/>
      <c r="EI35" s="438"/>
      <c r="EJ35" s="438"/>
      <c r="EK35" s="438"/>
      <c r="EL35" s="438"/>
      <c r="EM35" s="438"/>
      <c r="EN35" s="438"/>
      <c r="EO35" s="438"/>
      <c r="EP35" s="438"/>
      <c r="EQ35" s="438"/>
      <c r="ER35" s="438"/>
      <c r="ES35" s="438"/>
      <c r="ET35" s="438"/>
      <c r="EU35" s="438"/>
      <c r="EV35" s="438"/>
      <c r="EW35" s="438"/>
      <c r="EX35" s="438"/>
      <c r="EY35" s="438"/>
      <c r="EZ35" s="438"/>
      <c r="FA35" s="438"/>
      <c r="FB35" s="438"/>
      <c r="FC35" s="438"/>
      <c r="FD35" s="438"/>
      <c r="FE35" s="438"/>
      <c r="FF35" s="438"/>
      <c r="FG35" s="438"/>
      <c r="FH35" s="438"/>
      <c r="FI35" s="438"/>
      <c r="FJ35" s="438"/>
      <c r="FK35" s="438"/>
      <c r="FL35" s="438"/>
      <c r="FM35" s="438"/>
      <c r="FN35" s="438"/>
      <c r="FO35" s="438"/>
      <c r="FP35" s="438"/>
      <c r="FQ35" s="438"/>
      <c r="FR35" s="438"/>
      <c r="FS35" s="438"/>
      <c r="FT35" s="438"/>
      <c r="FU35" s="438"/>
      <c r="FV35" s="438"/>
      <c r="FW35" s="438"/>
      <c r="FX35" s="438"/>
      <c r="FY35" s="438"/>
      <c r="FZ35" s="438"/>
      <c r="GA35" s="438"/>
      <c r="GB35" s="438"/>
      <c r="GC35" s="438"/>
      <c r="GD35" s="438"/>
      <c r="GE35" s="438"/>
      <c r="GF35" s="438"/>
      <c r="GG35" s="438"/>
      <c r="GH35" s="438"/>
      <c r="GI35" s="438"/>
      <c r="GJ35" s="438"/>
      <c r="GK35" s="438"/>
      <c r="GL35" s="438"/>
      <c r="GM35" s="438"/>
      <c r="GN35" s="438"/>
      <c r="GO35" s="438"/>
      <c r="GP35" s="438"/>
      <c r="GQ35" s="438"/>
      <c r="GR35" s="438"/>
      <c r="GS35" s="438"/>
      <c r="GT35" s="438"/>
      <c r="GU35" s="438"/>
      <c r="GV35" s="438"/>
      <c r="GW35" s="438"/>
      <c r="GX35" s="438"/>
      <c r="GY35" s="438"/>
      <c r="GZ35" s="438"/>
      <c r="HA35" s="438"/>
      <c r="HB35" s="438"/>
      <c r="HC35" s="438"/>
      <c r="HD35" s="438"/>
      <c r="HE35" s="438"/>
      <c r="HF35" s="438"/>
      <c r="HG35" s="438"/>
      <c r="HH35" s="438"/>
      <c r="HI35" s="438"/>
      <c r="HJ35" s="438"/>
      <c r="HK35" s="438"/>
      <c r="HL35" s="438"/>
      <c r="HM35" s="438"/>
      <c r="HN35" s="438"/>
      <c r="HO35" s="438"/>
      <c r="HP35" s="438"/>
      <c r="HQ35" s="438"/>
      <c r="HR35" s="438"/>
      <c r="HS35" s="438"/>
      <c r="HT35" s="438"/>
      <c r="HU35" s="438"/>
      <c r="HV35" s="438"/>
      <c r="HW35" s="438"/>
      <c r="HX35" s="438"/>
      <c r="HY35" s="438"/>
      <c r="HZ35" s="438"/>
      <c r="IA35" s="438"/>
      <c r="IB35" s="438"/>
      <c r="IC35" s="438"/>
      <c r="ID35" s="438"/>
      <c r="IE35" s="438"/>
      <c r="IF35" s="438"/>
      <c r="IG35" s="438"/>
      <c r="IH35" s="438"/>
      <c r="II35" s="438"/>
      <c r="IJ35" s="438"/>
      <c r="IK35" s="438"/>
      <c r="IL35" s="438"/>
      <c r="IM35" s="438"/>
      <c r="IN35" s="438"/>
      <c r="IO35" s="438"/>
      <c r="IP35" s="438"/>
      <c r="IQ35" s="438"/>
      <c r="IR35" s="438"/>
      <c r="IS35" s="438"/>
      <c r="IT35" s="438"/>
      <c r="IU35" s="438"/>
      <c r="IV35" s="438"/>
      <c r="IW35" s="438"/>
    </row>
    <row r="36" customFormat="false" ht="12.75" hidden="false" customHeight="false" outlineLevel="0" collapsed="false">
      <c r="A36" s="435"/>
      <c r="B36" s="439" t="s">
        <v>330</v>
      </c>
      <c r="C36" s="459" t="s">
        <v>338</v>
      </c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8"/>
      <c r="S36" s="438"/>
      <c r="T36" s="438"/>
      <c r="U36" s="438"/>
      <c r="V36" s="438"/>
      <c r="W36" s="438"/>
      <c r="X36" s="438"/>
      <c r="Y36" s="438"/>
      <c r="Z36" s="438"/>
      <c r="AA36" s="386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8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8"/>
      <c r="BF36" s="438"/>
      <c r="BG36" s="438"/>
      <c r="BH36" s="438"/>
      <c r="BI36" s="438"/>
      <c r="BJ36" s="438"/>
      <c r="BK36" s="438"/>
      <c r="BL36" s="438"/>
      <c r="BM36" s="438"/>
      <c r="BN36" s="438"/>
      <c r="BO36" s="438"/>
      <c r="BP36" s="438"/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  <c r="CA36" s="438"/>
      <c r="CB36" s="438"/>
      <c r="CC36" s="438"/>
      <c r="CD36" s="438"/>
      <c r="CE36" s="438"/>
      <c r="CF36" s="438"/>
      <c r="CG36" s="438"/>
      <c r="CH36" s="438"/>
      <c r="CI36" s="438"/>
      <c r="CJ36" s="438"/>
      <c r="CK36" s="438"/>
      <c r="CL36" s="438"/>
      <c r="CM36" s="438"/>
      <c r="CN36" s="438"/>
      <c r="CO36" s="438"/>
      <c r="CP36" s="438"/>
      <c r="CQ36" s="438"/>
      <c r="CR36" s="438"/>
      <c r="CS36" s="438"/>
      <c r="CT36" s="438"/>
      <c r="CU36" s="438"/>
      <c r="CV36" s="438"/>
      <c r="CW36" s="438"/>
      <c r="CX36" s="438"/>
      <c r="CY36" s="438"/>
      <c r="CZ36" s="438"/>
      <c r="DA36" s="438"/>
      <c r="DB36" s="438"/>
      <c r="DC36" s="438"/>
      <c r="DD36" s="438"/>
      <c r="DE36" s="438"/>
      <c r="DF36" s="438"/>
      <c r="DG36" s="438"/>
      <c r="DH36" s="438"/>
      <c r="DI36" s="438"/>
      <c r="DJ36" s="438"/>
      <c r="DK36" s="438"/>
      <c r="DL36" s="438"/>
      <c r="DM36" s="438"/>
      <c r="DN36" s="438"/>
      <c r="DO36" s="438"/>
      <c r="DP36" s="438"/>
      <c r="DQ36" s="438"/>
      <c r="DR36" s="438"/>
      <c r="DS36" s="438"/>
      <c r="DT36" s="438"/>
      <c r="DU36" s="438"/>
      <c r="DV36" s="438"/>
      <c r="DW36" s="438"/>
      <c r="DX36" s="438"/>
      <c r="DY36" s="438"/>
      <c r="DZ36" s="438"/>
      <c r="EA36" s="438"/>
      <c r="EB36" s="438"/>
      <c r="EC36" s="438"/>
      <c r="ED36" s="438"/>
      <c r="EE36" s="438"/>
      <c r="EF36" s="438"/>
      <c r="EG36" s="438"/>
      <c r="EH36" s="438"/>
      <c r="EI36" s="438"/>
      <c r="EJ36" s="438"/>
      <c r="EK36" s="438"/>
      <c r="EL36" s="438"/>
      <c r="EM36" s="438"/>
      <c r="EN36" s="438"/>
      <c r="EO36" s="438"/>
      <c r="EP36" s="438"/>
      <c r="EQ36" s="438"/>
      <c r="ER36" s="438"/>
      <c r="ES36" s="438"/>
      <c r="ET36" s="438"/>
      <c r="EU36" s="438"/>
      <c r="EV36" s="438"/>
      <c r="EW36" s="438"/>
      <c r="EX36" s="438"/>
      <c r="EY36" s="438"/>
      <c r="EZ36" s="438"/>
      <c r="FA36" s="438"/>
      <c r="FB36" s="438"/>
      <c r="FC36" s="438"/>
      <c r="FD36" s="438"/>
      <c r="FE36" s="438"/>
      <c r="FF36" s="438"/>
      <c r="FG36" s="438"/>
      <c r="FH36" s="438"/>
      <c r="FI36" s="438"/>
      <c r="FJ36" s="438"/>
      <c r="FK36" s="438"/>
      <c r="FL36" s="438"/>
      <c r="FM36" s="438"/>
      <c r="FN36" s="438"/>
      <c r="FO36" s="438"/>
      <c r="FP36" s="438"/>
      <c r="FQ36" s="438"/>
      <c r="FR36" s="438"/>
      <c r="FS36" s="438"/>
      <c r="FT36" s="438"/>
      <c r="FU36" s="438"/>
      <c r="FV36" s="438"/>
      <c r="FW36" s="438"/>
      <c r="FX36" s="438"/>
      <c r="FY36" s="438"/>
      <c r="FZ36" s="438"/>
      <c r="GA36" s="438"/>
      <c r="GB36" s="438"/>
      <c r="GC36" s="438"/>
      <c r="GD36" s="438"/>
      <c r="GE36" s="438"/>
      <c r="GF36" s="438"/>
      <c r="GG36" s="438"/>
      <c r="GH36" s="438"/>
      <c r="GI36" s="438"/>
      <c r="GJ36" s="438"/>
      <c r="GK36" s="438"/>
      <c r="GL36" s="438"/>
      <c r="GM36" s="438"/>
      <c r="GN36" s="438"/>
      <c r="GO36" s="438"/>
      <c r="GP36" s="438"/>
      <c r="GQ36" s="438"/>
      <c r="GR36" s="438"/>
      <c r="GS36" s="438"/>
      <c r="GT36" s="438"/>
      <c r="GU36" s="438"/>
      <c r="GV36" s="438"/>
      <c r="GW36" s="438"/>
      <c r="GX36" s="438"/>
      <c r="GY36" s="438"/>
      <c r="GZ36" s="438"/>
      <c r="HA36" s="438"/>
      <c r="HB36" s="438"/>
      <c r="HC36" s="438"/>
      <c r="HD36" s="438"/>
      <c r="HE36" s="438"/>
      <c r="HF36" s="438"/>
      <c r="HG36" s="438"/>
      <c r="HH36" s="438"/>
      <c r="HI36" s="438"/>
      <c r="HJ36" s="438"/>
      <c r="HK36" s="438"/>
      <c r="HL36" s="438"/>
      <c r="HM36" s="438"/>
      <c r="HN36" s="438"/>
      <c r="HO36" s="438"/>
      <c r="HP36" s="438"/>
      <c r="HQ36" s="438"/>
      <c r="HR36" s="438"/>
      <c r="HS36" s="438"/>
      <c r="HT36" s="438"/>
      <c r="HU36" s="438"/>
      <c r="HV36" s="438"/>
      <c r="HW36" s="438"/>
      <c r="HX36" s="438"/>
      <c r="HY36" s="438"/>
      <c r="HZ36" s="438"/>
      <c r="IA36" s="438"/>
      <c r="IB36" s="438"/>
      <c r="IC36" s="438"/>
      <c r="ID36" s="438"/>
      <c r="IE36" s="438"/>
      <c r="IF36" s="438"/>
      <c r="IG36" s="438"/>
      <c r="IH36" s="438"/>
      <c r="II36" s="438"/>
      <c r="IJ36" s="438"/>
      <c r="IK36" s="438"/>
      <c r="IL36" s="438"/>
      <c r="IM36" s="438"/>
      <c r="IN36" s="438"/>
      <c r="IO36" s="438"/>
      <c r="IP36" s="438"/>
      <c r="IQ36" s="438"/>
      <c r="IR36" s="438"/>
      <c r="IS36" s="438"/>
      <c r="IT36" s="438"/>
      <c r="IU36" s="438"/>
      <c r="IV36" s="438"/>
      <c r="IW36" s="438"/>
    </row>
    <row r="37" customFormat="false" ht="12.75" hidden="false" customHeight="false" outlineLevel="0" collapsed="false">
      <c r="A37" s="441" t="s">
        <v>339</v>
      </c>
      <c r="B37" s="442" t="n">
        <f aca="false">Assumptions!$N$16</f>
        <v>30</v>
      </c>
      <c r="C37" s="462" t="n">
        <f aca="false">Assumptions!P16</f>
        <v>0.1</v>
      </c>
      <c r="E37" s="444" t="n">
        <f aca="false">1/Assumptions!$N$16*E8/12*(1-$C$37)</f>
        <v>0.015</v>
      </c>
      <c r="F37" s="444" t="n">
        <f aca="false">IF(F6=Assumptions!$N$16,1/Assumptions!$N$16*(1-$C$37)-Depreciation!$E$37,IF(F6&lt;Assumptions!$N$16,1/Assumptions!$N$13*(1-$C$37),0))</f>
        <v>0.045</v>
      </c>
      <c r="G37" s="444" t="n">
        <f aca="false">IF(G6=Assumptions!$N$16,1/Assumptions!$N$16*(1-$C$37)-Depreciation!$E$37,IF(G6&lt;Assumptions!$N$16,1/Assumptions!$N$13*(1-$C$37),0))</f>
        <v>0.045</v>
      </c>
      <c r="H37" s="444" t="n">
        <f aca="false">IF(H6=Assumptions!$N$16,1/Assumptions!$N$16*(1-$C$37)-Depreciation!$E$37,IF(H6&lt;Assumptions!$N$16,1/Assumptions!$N$13*(1-$C$37),0))</f>
        <v>0.045</v>
      </c>
      <c r="I37" s="444" t="n">
        <f aca="false">IF(I6=Assumptions!$N$16,1/Assumptions!$N$16*(1-$C$37)-Depreciation!$E$37,IF(I6&lt;Assumptions!$N$16,1/Assumptions!$N$13*(1-$C$37),0))</f>
        <v>0.045</v>
      </c>
      <c r="J37" s="444" t="n">
        <f aca="false">IF(J6=Assumptions!$N$16,1/Assumptions!$N$16*(1-$C$37)-Depreciation!$E$37,IF(J6&lt;Assumptions!$N$16,1/Assumptions!$N$13*(1-$C$37),0))</f>
        <v>0.045</v>
      </c>
      <c r="K37" s="444" t="n">
        <f aca="false">IF(K6=Assumptions!$N$16,1/Assumptions!$N$16*(1-$C$37)-Depreciation!$E$37,IF(K6&lt;Assumptions!$N$16,1/Assumptions!$N$13*(1-$C$37),0))</f>
        <v>0.045</v>
      </c>
      <c r="L37" s="444" t="n">
        <f aca="false">IF(L6=Assumptions!$N$16,1/Assumptions!$N$16*(1-$C$37)-Depreciation!$E$37,IF(L6&lt;Assumptions!$N$16,1/Assumptions!$N$13*(1-$C$37),0))</f>
        <v>0.045</v>
      </c>
      <c r="M37" s="444" t="n">
        <f aca="false">IF(M6=Assumptions!$N$16,1/Assumptions!$N$16*(1-$C$37)-Depreciation!$E$37,IF(M6&lt;Assumptions!$N$16,1/Assumptions!$N$13*(1-$C$37),0))</f>
        <v>0.045</v>
      </c>
      <c r="N37" s="444" t="n">
        <f aca="false">IF(N6=Assumptions!$N$16,1/Assumptions!$N$16*(1-$C$37)-Depreciation!$E$37,IF(N6&lt;Assumptions!$N$16,1/Assumptions!$N$13*(1-$C$37),0))</f>
        <v>0.045</v>
      </c>
      <c r="O37" s="444" t="n">
        <f aca="false">IF(O6=Assumptions!$N$16,1/Assumptions!$N$16*(1-$C$37)-Depreciation!$E$37,IF(O6&lt;Assumptions!$N$16,1/Assumptions!$N$13*(1-$C$37),0))</f>
        <v>0.045</v>
      </c>
      <c r="P37" s="444" t="n">
        <f aca="false">IF(P6=Assumptions!$N$16,1/Assumptions!$N$16*(1-$C$37)-Depreciation!$E$37,IF(P6&lt;Assumptions!$N$16,1/Assumptions!$N$13*(1-$C$37),0))</f>
        <v>0.045</v>
      </c>
      <c r="Q37" s="444" t="n">
        <f aca="false">IF(Q6=Assumptions!$N$16,1/Assumptions!$N$16*(1-$C$37)-Depreciation!$E$37,IF(Q6&lt;Assumptions!$N$16,1/Assumptions!$N$13*(1-$C$37),0))</f>
        <v>0.045</v>
      </c>
      <c r="R37" s="444" t="n">
        <f aca="false">IF(R6=Assumptions!$N$16,1/Assumptions!$N$16*(1-$C$37)-Depreciation!$E$37,IF(R6&lt;Assumptions!$N$16,1/Assumptions!$N$13*(1-$C$37),0))</f>
        <v>0.045</v>
      </c>
      <c r="S37" s="444" t="n">
        <f aca="false">IF(S6=Assumptions!$N$16,1/Assumptions!$N$16*(1-$C$37)-Depreciation!$E$37,IF(S6&lt;Assumptions!$N$16,1/Assumptions!$N$13*(1-$C$37),0))</f>
        <v>0.045</v>
      </c>
      <c r="T37" s="444" t="n">
        <f aca="false">IF(T6=Assumptions!$N$16,1/Assumptions!$N$16*(1-$C$37)-Depreciation!$E$37,IF(T6&lt;Assumptions!$N$16,1/Assumptions!$N$13*(1-$C$37),0))</f>
        <v>0.045</v>
      </c>
      <c r="U37" s="444" t="n">
        <f aca="false">IF(U6=Assumptions!$N$16,1/Assumptions!$N$16*(1-$C$37)-Depreciation!$E$37,IF(U6&lt;Assumptions!$N$16,1/Assumptions!$N$13*(1-$C$37),0))</f>
        <v>0.045</v>
      </c>
      <c r="V37" s="444" t="n">
        <f aca="false">IF(V6=Assumptions!$N$16,1/Assumptions!$N$16*(1-$C$37)-Depreciation!$E$37,IF(V6&lt;Assumptions!$N$16,1/Assumptions!$N$13*(1-$C$37),0))</f>
        <v>0.045</v>
      </c>
      <c r="W37" s="444" t="n">
        <f aca="false">IF(W6=Assumptions!$N$16,1/Assumptions!$N$16*(1-$C$37)-Depreciation!$E$37,IF(W6&lt;Assumptions!$N$16,1/Assumptions!$N$13*(1-$C$37),0))</f>
        <v>0.045</v>
      </c>
      <c r="X37" s="444" t="n">
        <f aca="false">IF(X6=Assumptions!$N$16,1/Assumptions!$N$16*(1-$C$37)-Depreciation!$E$37,IF(X6&lt;Assumptions!$N$16,1/Assumptions!$N$13*(1-$C$37),0))</f>
        <v>0.045</v>
      </c>
      <c r="Y37" s="444" t="n">
        <f aca="false">IF(Y6=Assumptions!$N$16,1/Assumptions!$N$16*(1-$C$37)-Depreciation!$E$37,IF(Y6&lt;Assumptions!$N$16,1/Assumptions!$N$13*(1-$C$37),0))</f>
        <v>0.045</v>
      </c>
      <c r="Z37" s="444" t="n">
        <f aca="false">IF(Z6=Assumptions!$N$16,1/Assumptions!$N$16*(1-$C$37)-Depreciation!$E$37,IF(Z6&lt;Assumptions!$N$16,1/Assumptions!$N$13*(1-$C$37),0))</f>
        <v>0.045</v>
      </c>
      <c r="AB37" s="438"/>
      <c r="AC37" s="438"/>
      <c r="AD37" s="438"/>
      <c r="AE37" s="438"/>
      <c r="AF37" s="438"/>
      <c r="AG37" s="438"/>
      <c r="AH37" s="438"/>
      <c r="AI37" s="438"/>
      <c r="AJ37" s="438"/>
      <c r="AK37" s="438"/>
      <c r="AL37" s="438"/>
      <c r="AM37" s="438"/>
      <c r="AN37" s="438"/>
      <c r="AO37" s="438"/>
      <c r="AP37" s="438"/>
      <c r="AQ37" s="438"/>
      <c r="AR37" s="438"/>
      <c r="AS37" s="438"/>
      <c r="AT37" s="438"/>
      <c r="AU37" s="438"/>
      <c r="AV37" s="438"/>
      <c r="AW37" s="438"/>
      <c r="AX37" s="438"/>
      <c r="AY37" s="438"/>
      <c r="AZ37" s="438"/>
      <c r="BA37" s="438"/>
      <c r="BB37" s="438"/>
      <c r="BC37" s="438"/>
      <c r="BD37" s="438"/>
      <c r="BE37" s="438"/>
      <c r="BF37" s="438"/>
      <c r="BG37" s="438"/>
      <c r="BH37" s="438"/>
      <c r="BI37" s="438"/>
      <c r="BJ37" s="438"/>
      <c r="BK37" s="438"/>
      <c r="BL37" s="438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  <c r="CA37" s="438"/>
      <c r="CB37" s="438"/>
      <c r="CC37" s="438"/>
      <c r="CD37" s="438"/>
      <c r="CE37" s="438"/>
      <c r="CF37" s="438"/>
      <c r="CG37" s="438"/>
      <c r="CH37" s="438"/>
      <c r="CI37" s="438"/>
      <c r="CJ37" s="438"/>
      <c r="CK37" s="438"/>
      <c r="CL37" s="438"/>
      <c r="CM37" s="438"/>
      <c r="CN37" s="438"/>
      <c r="CO37" s="438"/>
      <c r="CP37" s="438"/>
      <c r="CQ37" s="438"/>
      <c r="CR37" s="438"/>
      <c r="CS37" s="438"/>
      <c r="CT37" s="438"/>
      <c r="CU37" s="438"/>
      <c r="CV37" s="438"/>
      <c r="CW37" s="438"/>
      <c r="CX37" s="438"/>
      <c r="CY37" s="438"/>
      <c r="CZ37" s="438"/>
      <c r="DA37" s="438"/>
      <c r="DB37" s="438"/>
      <c r="DC37" s="438"/>
      <c r="DD37" s="438"/>
      <c r="DE37" s="438"/>
      <c r="DF37" s="438"/>
      <c r="DG37" s="438"/>
      <c r="DH37" s="438"/>
      <c r="DI37" s="438"/>
      <c r="DJ37" s="438"/>
      <c r="DK37" s="438"/>
      <c r="DL37" s="438"/>
      <c r="DM37" s="438"/>
      <c r="DN37" s="438"/>
      <c r="DO37" s="438"/>
      <c r="DP37" s="438"/>
      <c r="DQ37" s="438"/>
      <c r="DR37" s="438"/>
      <c r="DS37" s="438"/>
      <c r="DT37" s="438"/>
      <c r="DU37" s="438"/>
      <c r="DV37" s="438"/>
      <c r="DW37" s="438"/>
      <c r="DX37" s="438"/>
      <c r="DY37" s="438"/>
      <c r="DZ37" s="438"/>
      <c r="EA37" s="438"/>
      <c r="EB37" s="438"/>
      <c r="EC37" s="438"/>
      <c r="ED37" s="438"/>
      <c r="EE37" s="438"/>
      <c r="EF37" s="438"/>
      <c r="EG37" s="438"/>
      <c r="EH37" s="438"/>
      <c r="EI37" s="438"/>
      <c r="EJ37" s="438"/>
      <c r="EK37" s="438"/>
      <c r="EL37" s="438"/>
      <c r="EM37" s="438"/>
      <c r="EN37" s="438"/>
      <c r="EO37" s="438"/>
      <c r="EP37" s="438"/>
      <c r="EQ37" s="438"/>
      <c r="ER37" s="438"/>
      <c r="ES37" s="438"/>
      <c r="ET37" s="438"/>
      <c r="EU37" s="438"/>
      <c r="EV37" s="438"/>
      <c r="EW37" s="438"/>
      <c r="EX37" s="438"/>
      <c r="EY37" s="438"/>
      <c r="EZ37" s="438"/>
      <c r="FA37" s="438"/>
      <c r="FB37" s="438"/>
      <c r="FC37" s="438"/>
      <c r="FD37" s="438"/>
      <c r="FE37" s="438"/>
      <c r="FF37" s="438"/>
      <c r="FG37" s="438"/>
      <c r="FH37" s="438"/>
      <c r="FI37" s="438"/>
      <c r="FJ37" s="438"/>
      <c r="FK37" s="438"/>
      <c r="FL37" s="438"/>
      <c r="FM37" s="438"/>
      <c r="FN37" s="438"/>
      <c r="FO37" s="438"/>
      <c r="FP37" s="438"/>
      <c r="FQ37" s="438"/>
      <c r="FR37" s="438"/>
      <c r="FS37" s="438"/>
      <c r="FT37" s="438"/>
      <c r="FU37" s="438"/>
      <c r="FV37" s="438"/>
      <c r="FW37" s="438"/>
      <c r="FX37" s="438"/>
      <c r="FY37" s="438"/>
      <c r="FZ37" s="438"/>
      <c r="GA37" s="438"/>
      <c r="GB37" s="438"/>
      <c r="GC37" s="438"/>
      <c r="GD37" s="438"/>
      <c r="GE37" s="438"/>
      <c r="GF37" s="438"/>
      <c r="GG37" s="438"/>
      <c r="GH37" s="438"/>
      <c r="GI37" s="438"/>
      <c r="GJ37" s="438"/>
      <c r="GK37" s="438"/>
      <c r="GL37" s="438"/>
      <c r="GM37" s="438"/>
      <c r="GN37" s="438"/>
      <c r="GO37" s="438"/>
      <c r="GP37" s="438"/>
      <c r="GQ37" s="438"/>
      <c r="GR37" s="438"/>
      <c r="GS37" s="438"/>
      <c r="GT37" s="438"/>
      <c r="GU37" s="438"/>
      <c r="GV37" s="438"/>
      <c r="GW37" s="438"/>
      <c r="GX37" s="438"/>
      <c r="GY37" s="438"/>
      <c r="GZ37" s="438"/>
      <c r="HA37" s="438"/>
      <c r="HB37" s="438"/>
      <c r="HC37" s="438"/>
      <c r="HD37" s="438"/>
      <c r="HE37" s="438"/>
      <c r="HF37" s="438"/>
      <c r="HG37" s="438"/>
      <c r="HH37" s="438"/>
      <c r="HI37" s="438"/>
      <c r="HJ37" s="438"/>
      <c r="HK37" s="438"/>
      <c r="HL37" s="438"/>
      <c r="HM37" s="438"/>
      <c r="HN37" s="438"/>
      <c r="HO37" s="438"/>
      <c r="HP37" s="438"/>
      <c r="HQ37" s="438"/>
      <c r="HR37" s="438"/>
      <c r="HS37" s="438"/>
      <c r="HT37" s="438"/>
      <c r="HU37" s="438"/>
      <c r="HV37" s="438"/>
      <c r="HW37" s="438"/>
      <c r="HX37" s="438"/>
      <c r="HY37" s="438"/>
      <c r="HZ37" s="438"/>
      <c r="IA37" s="438"/>
      <c r="IB37" s="438"/>
      <c r="IC37" s="438"/>
      <c r="ID37" s="438"/>
      <c r="IE37" s="438"/>
      <c r="IF37" s="438"/>
      <c r="IG37" s="438"/>
      <c r="IH37" s="438"/>
      <c r="II37" s="438"/>
      <c r="IJ37" s="438"/>
      <c r="IK37" s="438"/>
      <c r="IL37" s="438"/>
      <c r="IM37" s="438"/>
      <c r="IN37" s="438"/>
      <c r="IO37" s="438"/>
      <c r="IP37" s="438"/>
      <c r="IQ37" s="438"/>
      <c r="IR37" s="438"/>
      <c r="IS37" s="438"/>
      <c r="IT37" s="438"/>
      <c r="IU37" s="438"/>
      <c r="IV37" s="438"/>
      <c r="IW37" s="438"/>
    </row>
    <row r="38" customFormat="false" ht="12.75" hidden="false" customHeight="false" outlineLevel="0" collapsed="false">
      <c r="A38" s="445" t="s">
        <v>332</v>
      </c>
      <c r="B38" s="449" t="n">
        <f aca="false">Assumptions!$N$17</f>
        <v>20</v>
      </c>
      <c r="D38" s="451"/>
      <c r="E38" s="444" t="n">
        <f aca="false">1/Assumptions!$N$17*E8/12</f>
        <v>0.025</v>
      </c>
      <c r="F38" s="444" t="n">
        <f aca="false">IF(F6=Assumptions!$N$17,1/Assumptions!$N$17-Depreciation!$E$38,IF(F6&lt;Assumptions!$N$17,1/Assumptions!$N$17,0))</f>
        <v>0.05</v>
      </c>
      <c r="G38" s="444" t="n">
        <f aca="false">IF(G6=Assumptions!$N$17,1/Assumptions!$N$17-Depreciation!$E$38,IF(G6&lt;Assumptions!$N$17,1/Assumptions!$N$17,0))</f>
        <v>0.05</v>
      </c>
      <c r="H38" s="444" t="n">
        <f aca="false">IF(H6=Assumptions!$N$17,1/Assumptions!$N$17-Depreciation!$E$38,IF(H6&lt;Assumptions!$N$17,1/Assumptions!$N$17,0))</f>
        <v>0.05</v>
      </c>
      <c r="I38" s="444" t="n">
        <f aca="false">IF(I6=Assumptions!$N$17,1/Assumptions!$N$17-Depreciation!$E$38,IF(I6&lt;Assumptions!$N$17,1/Assumptions!$N$17,0))</f>
        <v>0.05</v>
      </c>
      <c r="J38" s="444" t="n">
        <f aca="false">IF(J6=Assumptions!$N$17,1/Assumptions!$N$17-Depreciation!$E$38,IF(J6&lt;Assumptions!$N$17,1/Assumptions!$N$17,0))</f>
        <v>0.05</v>
      </c>
      <c r="K38" s="444" t="n">
        <f aca="false">IF(K6=Assumptions!$N$17,1/Assumptions!$N$17-Depreciation!$E$38,IF(K6&lt;Assumptions!$N$17,1/Assumptions!$N$17,0))</f>
        <v>0.05</v>
      </c>
      <c r="L38" s="444" t="n">
        <f aca="false">IF(L6=Assumptions!$N$17,1/Assumptions!$N$17-Depreciation!$E$38,IF(L6&lt;Assumptions!$N$17,1/Assumptions!$N$17,0))</f>
        <v>0.05</v>
      </c>
      <c r="M38" s="444" t="n">
        <f aca="false">IF(M6=Assumptions!$N$17,1/Assumptions!$N$17-Depreciation!$E$38,IF(M6&lt;Assumptions!$N$17,1/Assumptions!$N$17,0))</f>
        <v>0.05</v>
      </c>
      <c r="N38" s="444" t="n">
        <f aca="false">IF(N6=Assumptions!$N$17,1/Assumptions!$N$17-Depreciation!$E$38,IF(N6&lt;Assumptions!$N$17,1/Assumptions!$N$17,0))</f>
        <v>0.05</v>
      </c>
      <c r="O38" s="444" t="n">
        <f aca="false">IF(O6=Assumptions!$N$17,1/Assumptions!$N$17-Depreciation!$E$38,IF(O6&lt;Assumptions!$N$17,1/Assumptions!$N$17,0))</f>
        <v>0.05</v>
      </c>
      <c r="P38" s="444" t="n">
        <f aca="false">IF(P6=Assumptions!$N$17,1/Assumptions!$N$17-Depreciation!$E$38,IF(P6&lt;Assumptions!$N$17,1/Assumptions!$N$17,0))</f>
        <v>0.05</v>
      </c>
      <c r="Q38" s="444" t="n">
        <f aca="false">IF(Q6=Assumptions!$N$17,1/Assumptions!$N$17-Depreciation!$E$38,IF(Q6&lt;Assumptions!$N$17,1/Assumptions!$N$17,0))</f>
        <v>0.05</v>
      </c>
      <c r="R38" s="444" t="n">
        <f aca="false">IF(R6=Assumptions!$N$17,1/Assumptions!$N$17-Depreciation!$E$38,IF(R6&lt;Assumptions!$N$17,1/Assumptions!$N$17,0))</f>
        <v>0.05</v>
      </c>
      <c r="S38" s="444" t="n">
        <f aca="false">IF(S6=Assumptions!$N$17,1/Assumptions!$N$17-Depreciation!$E$38,IF(S6&lt;Assumptions!$N$17,1/Assumptions!$N$17,0))</f>
        <v>0.05</v>
      </c>
      <c r="T38" s="444" t="n">
        <f aca="false">IF(T6=Assumptions!$N$17,1/Assumptions!$N$17-Depreciation!$E$38,IF(T6&lt;Assumptions!$N$17,1/Assumptions!$N$17,0))</f>
        <v>0.05</v>
      </c>
      <c r="U38" s="444" t="n">
        <f aca="false">IF(U6=Assumptions!$N$17,1/Assumptions!$N$17-Depreciation!$E$38,IF(U6&lt;Assumptions!$N$17,1/Assumptions!$N$17,0))</f>
        <v>0.05</v>
      </c>
      <c r="V38" s="444" t="n">
        <f aca="false">IF(V6=Assumptions!$N$17,1/Assumptions!$N$17-Depreciation!$E$38,IF(V6&lt;Assumptions!$N$17,1/Assumptions!$N$17,0))</f>
        <v>0.05</v>
      </c>
      <c r="W38" s="444" t="n">
        <f aca="false">IF(W6=Assumptions!$N$17,1/Assumptions!$N$17-Depreciation!$E$38,IF(W6&lt;Assumptions!$N$17,1/Assumptions!$N$17,0))</f>
        <v>0.05</v>
      </c>
      <c r="X38" s="444" t="n">
        <f aca="false">IF(X6=Assumptions!$N$17,1/Assumptions!$N$17-Depreciation!$E$38,IF(X6&lt;Assumptions!$N$17,1/Assumptions!$N$17,0))</f>
        <v>0.05</v>
      </c>
      <c r="Y38" s="444" t="n">
        <f aca="false">IF(Y6=Assumptions!$N$17,1/Assumptions!$N$17-Depreciation!$E$38,IF(Y6&lt;Assumptions!$N$17,1/Assumptions!$N$17,0))</f>
        <v>0</v>
      </c>
      <c r="Z38" s="444" t="n">
        <f aca="false">IF(Z6=Assumptions!$N$17,1/Assumptions!$N$17-Depreciation!$E$38,IF(Z6&lt;Assumptions!$N$17,1/Assumptions!$N$17,0))</f>
        <v>0</v>
      </c>
      <c r="AA38" s="450"/>
      <c r="AB38" s="438"/>
      <c r="AC38" s="438"/>
      <c r="AD38" s="438"/>
      <c r="AE38" s="438"/>
      <c r="AF38" s="438"/>
      <c r="AG38" s="438"/>
      <c r="AH38" s="438"/>
      <c r="AI38" s="438"/>
      <c r="AJ38" s="438"/>
      <c r="AK38" s="438"/>
      <c r="AL38" s="438"/>
      <c r="AM38" s="438"/>
      <c r="AN38" s="438"/>
      <c r="AO38" s="438"/>
      <c r="AP38" s="438"/>
      <c r="AQ38" s="438"/>
      <c r="AR38" s="438"/>
      <c r="AS38" s="438"/>
      <c r="AT38" s="438"/>
      <c r="AU38" s="438"/>
      <c r="AV38" s="438"/>
      <c r="AW38" s="438"/>
      <c r="AX38" s="438"/>
      <c r="AY38" s="438"/>
      <c r="AZ38" s="438"/>
      <c r="BA38" s="438"/>
      <c r="BB38" s="438"/>
      <c r="BC38" s="438"/>
      <c r="BD38" s="438"/>
      <c r="BE38" s="438"/>
      <c r="BF38" s="438"/>
      <c r="BG38" s="438"/>
      <c r="BH38" s="438"/>
      <c r="BI38" s="438"/>
      <c r="BJ38" s="438"/>
      <c r="BK38" s="438"/>
      <c r="BL38" s="438"/>
      <c r="BM38" s="438"/>
      <c r="BN38" s="438"/>
      <c r="BO38" s="438"/>
      <c r="BP38" s="438"/>
      <c r="BQ38" s="438"/>
      <c r="BR38" s="438"/>
      <c r="BS38" s="438"/>
      <c r="BT38" s="438"/>
      <c r="BU38" s="438"/>
      <c r="BV38" s="438"/>
      <c r="BW38" s="438"/>
      <c r="BX38" s="438"/>
      <c r="BY38" s="438"/>
      <c r="BZ38" s="438"/>
      <c r="CA38" s="438"/>
      <c r="CB38" s="438"/>
      <c r="CC38" s="438"/>
      <c r="CD38" s="438"/>
      <c r="CE38" s="438"/>
      <c r="CF38" s="438"/>
      <c r="CG38" s="438"/>
      <c r="CH38" s="438"/>
      <c r="CI38" s="438"/>
      <c r="CJ38" s="438"/>
      <c r="CK38" s="438"/>
      <c r="CL38" s="438"/>
      <c r="CM38" s="438"/>
      <c r="CN38" s="438"/>
      <c r="CO38" s="438"/>
      <c r="CP38" s="438"/>
      <c r="CQ38" s="438"/>
      <c r="CR38" s="438"/>
      <c r="CS38" s="438"/>
      <c r="CT38" s="438"/>
      <c r="CU38" s="438"/>
      <c r="CV38" s="438"/>
      <c r="CW38" s="438"/>
      <c r="CX38" s="438"/>
      <c r="CY38" s="438"/>
      <c r="CZ38" s="438"/>
      <c r="DA38" s="438"/>
      <c r="DB38" s="438"/>
      <c r="DC38" s="438"/>
      <c r="DD38" s="438"/>
      <c r="DE38" s="438"/>
      <c r="DF38" s="438"/>
      <c r="DG38" s="438"/>
      <c r="DH38" s="438"/>
      <c r="DI38" s="438"/>
      <c r="DJ38" s="438"/>
      <c r="DK38" s="438"/>
      <c r="DL38" s="438"/>
      <c r="DM38" s="438"/>
      <c r="DN38" s="438"/>
      <c r="DO38" s="438"/>
      <c r="DP38" s="438"/>
      <c r="DQ38" s="438"/>
      <c r="DR38" s="438"/>
      <c r="DS38" s="438"/>
      <c r="DT38" s="438"/>
      <c r="DU38" s="438"/>
      <c r="DV38" s="438"/>
      <c r="DW38" s="438"/>
      <c r="DX38" s="438"/>
      <c r="DY38" s="438"/>
      <c r="DZ38" s="438"/>
      <c r="EA38" s="438"/>
      <c r="EB38" s="438"/>
      <c r="EC38" s="438"/>
      <c r="ED38" s="438"/>
      <c r="EE38" s="438"/>
      <c r="EF38" s="438"/>
      <c r="EG38" s="438"/>
      <c r="EH38" s="438"/>
      <c r="EI38" s="438"/>
      <c r="EJ38" s="438"/>
      <c r="EK38" s="438"/>
      <c r="EL38" s="438"/>
      <c r="EM38" s="438"/>
      <c r="EN38" s="438"/>
      <c r="EO38" s="438"/>
      <c r="EP38" s="438"/>
      <c r="EQ38" s="438"/>
      <c r="ER38" s="438"/>
      <c r="ES38" s="438"/>
      <c r="ET38" s="438"/>
      <c r="EU38" s="438"/>
      <c r="EV38" s="438"/>
      <c r="EW38" s="438"/>
      <c r="EX38" s="438"/>
      <c r="EY38" s="438"/>
      <c r="EZ38" s="438"/>
      <c r="FA38" s="438"/>
      <c r="FB38" s="438"/>
      <c r="FC38" s="438"/>
      <c r="FD38" s="438"/>
      <c r="FE38" s="438"/>
      <c r="FF38" s="438"/>
      <c r="FG38" s="438"/>
      <c r="FH38" s="438"/>
      <c r="FI38" s="438"/>
      <c r="FJ38" s="438"/>
      <c r="FK38" s="438"/>
      <c r="FL38" s="438"/>
      <c r="FM38" s="438"/>
      <c r="FN38" s="438"/>
      <c r="FO38" s="438"/>
      <c r="FP38" s="438"/>
      <c r="FQ38" s="438"/>
      <c r="FR38" s="438"/>
      <c r="FS38" s="438"/>
      <c r="FT38" s="438"/>
      <c r="FU38" s="438"/>
      <c r="FV38" s="438"/>
      <c r="FW38" s="438"/>
      <c r="FX38" s="438"/>
      <c r="FY38" s="438"/>
      <c r="FZ38" s="438"/>
      <c r="GA38" s="438"/>
      <c r="GB38" s="438"/>
      <c r="GC38" s="438"/>
      <c r="GD38" s="438"/>
      <c r="GE38" s="438"/>
      <c r="GF38" s="438"/>
      <c r="GG38" s="438"/>
      <c r="GH38" s="438"/>
      <c r="GI38" s="438"/>
      <c r="GJ38" s="438"/>
      <c r="GK38" s="438"/>
      <c r="GL38" s="438"/>
      <c r="GM38" s="438"/>
      <c r="GN38" s="438"/>
      <c r="GO38" s="438"/>
      <c r="GP38" s="438"/>
      <c r="GQ38" s="438"/>
      <c r="GR38" s="438"/>
      <c r="GS38" s="438"/>
      <c r="GT38" s="438"/>
      <c r="GU38" s="438"/>
      <c r="GV38" s="438"/>
      <c r="GW38" s="438"/>
      <c r="GX38" s="438"/>
      <c r="GY38" s="438"/>
      <c r="GZ38" s="438"/>
      <c r="HA38" s="438"/>
      <c r="HB38" s="438"/>
      <c r="HC38" s="438"/>
      <c r="HD38" s="438"/>
      <c r="HE38" s="438"/>
      <c r="HF38" s="438"/>
      <c r="HG38" s="438"/>
      <c r="HH38" s="438"/>
      <c r="HI38" s="438"/>
      <c r="HJ38" s="438"/>
      <c r="HK38" s="438"/>
      <c r="HL38" s="438"/>
      <c r="HM38" s="438"/>
      <c r="HN38" s="438"/>
      <c r="HO38" s="438"/>
      <c r="HP38" s="438"/>
      <c r="HQ38" s="438"/>
      <c r="HR38" s="438"/>
      <c r="HS38" s="438"/>
      <c r="HT38" s="438"/>
      <c r="HU38" s="438"/>
      <c r="HV38" s="438"/>
      <c r="HW38" s="438"/>
      <c r="HX38" s="438"/>
      <c r="HY38" s="438"/>
      <c r="HZ38" s="438"/>
      <c r="IA38" s="438"/>
      <c r="IB38" s="438"/>
      <c r="IC38" s="438"/>
      <c r="ID38" s="438"/>
      <c r="IE38" s="438"/>
      <c r="IF38" s="438"/>
      <c r="IG38" s="438"/>
      <c r="IH38" s="438"/>
      <c r="II38" s="438"/>
      <c r="IJ38" s="438"/>
      <c r="IK38" s="438"/>
      <c r="IL38" s="438"/>
      <c r="IM38" s="438"/>
      <c r="IN38" s="438"/>
      <c r="IO38" s="438"/>
      <c r="IP38" s="438"/>
      <c r="IQ38" s="438"/>
      <c r="IR38" s="438"/>
      <c r="IS38" s="438"/>
      <c r="IT38" s="438"/>
      <c r="IU38" s="438"/>
      <c r="IV38" s="438"/>
      <c r="IW38" s="438"/>
    </row>
    <row r="39" customFormat="false" ht="15" hidden="false" customHeight="false" outlineLevel="0" collapsed="false">
      <c r="B39" s="439"/>
      <c r="D39" s="451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438"/>
      <c r="W39" s="438"/>
      <c r="X39" s="438"/>
      <c r="Y39" s="438"/>
      <c r="Z39" s="438"/>
      <c r="AA39" s="452"/>
      <c r="AB39" s="438"/>
      <c r="AC39" s="438"/>
      <c r="AD39" s="438"/>
      <c r="AE39" s="438"/>
      <c r="AF39" s="438"/>
      <c r="AG39" s="438"/>
      <c r="AH39" s="438"/>
      <c r="AI39" s="438"/>
      <c r="AJ39" s="438"/>
      <c r="AK39" s="438"/>
      <c r="AL39" s="438"/>
      <c r="AM39" s="438"/>
      <c r="AN39" s="438"/>
      <c r="AO39" s="438"/>
      <c r="AP39" s="438"/>
      <c r="AQ39" s="438"/>
      <c r="AR39" s="438"/>
      <c r="AS39" s="438"/>
      <c r="AT39" s="438"/>
      <c r="AU39" s="438"/>
      <c r="AV39" s="438"/>
      <c r="AW39" s="438"/>
      <c r="AX39" s="438"/>
      <c r="AY39" s="438"/>
      <c r="AZ39" s="438"/>
      <c r="BA39" s="438"/>
      <c r="BB39" s="438"/>
      <c r="BC39" s="438"/>
      <c r="BD39" s="438"/>
      <c r="BE39" s="438"/>
      <c r="BF39" s="438"/>
      <c r="BG39" s="438"/>
      <c r="BH39" s="438"/>
      <c r="BI39" s="438"/>
      <c r="BJ39" s="438"/>
      <c r="BK39" s="438"/>
      <c r="BL39" s="438"/>
      <c r="BM39" s="438"/>
      <c r="BN39" s="438"/>
      <c r="BO39" s="438"/>
      <c r="BP39" s="438"/>
      <c r="BQ39" s="438"/>
      <c r="BR39" s="438"/>
      <c r="BS39" s="438"/>
      <c r="BT39" s="438"/>
      <c r="BU39" s="438"/>
      <c r="BV39" s="438"/>
      <c r="BW39" s="438"/>
      <c r="BX39" s="438"/>
      <c r="BY39" s="438"/>
      <c r="BZ39" s="438"/>
      <c r="CA39" s="438"/>
      <c r="CB39" s="438"/>
      <c r="CC39" s="438"/>
      <c r="CD39" s="438"/>
      <c r="CE39" s="438"/>
      <c r="CF39" s="438"/>
      <c r="CG39" s="438"/>
      <c r="CH39" s="438"/>
      <c r="CI39" s="438"/>
      <c r="CJ39" s="438"/>
      <c r="CK39" s="438"/>
      <c r="CL39" s="438"/>
      <c r="CM39" s="438"/>
      <c r="CN39" s="438"/>
      <c r="CO39" s="438"/>
      <c r="CP39" s="438"/>
      <c r="CQ39" s="438"/>
      <c r="CR39" s="438"/>
      <c r="CS39" s="438"/>
      <c r="CT39" s="438"/>
      <c r="CU39" s="438"/>
      <c r="CV39" s="438"/>
      <c r="CW39" s="438"/>
      <c r="CX39" s="438"/>
      <c r="CY39" s="438"/>
      <c r="CZ39" s="438"/>
      <c r="DA39" s="438"/>
      <c r="DB39" s="438"/>
      <c r="DC39" s="438"/>
      <c r="DD39" s="438"/>
      <c r="DE39" s="438"/>
      <c r="DF39" s="438"/>
      <c r="DG39" s="438"/>
      <c r="DH39" s="438"/>
      <c r="DI39" s="438"/>
      <c r="DJ39" s="438"/>
      <c r="DK39" s="438"/>
      <c r="DL39" s="438"/>
      <c r="DM39" s="438"/>
      <c r="DN39" s="438"/>
      <c r="DO39" s="438"/>
      <c r="DP39" s="438"/>
      <c r="DQ39" s="438"/>
      <c r="DR39" s="438"/>
      <c r="DS39" s="438"/>
      <c r="DT39" s="438"/>
      <c r="DU39" s="438"/>
      <c r="DV39" s="438"/>
      <c r="DW39" s="438"/>
      <c r="DX39" s="438"/>
      <c r="DY39" s="438"/>
      <c r="DZ39" s="438"/>
      <c r="EA39" s="438"/>
      <c r="EB39" s="438"/>
      <c r="EC39" s="438"/>
      <c r="ED39" s="438"/>
      <c r="EE39" s="438"/>
      <c r="EF39" s="438"/>
      <c r="EG39" s="438"/>
      <c r="EH39" s="438"/>
      <c r="EI39" s="438"/>
      <c r="EJ39" s="438"/>
      <c r="EK39" s="438"/>
      <c r="EL39" s="438"/>
      <c r="EM39" s="438"/>
      <c r="EN39" s="438"/>
      <c r="EO39" s="438"/>
      <c r="EP39" s="438"/>
      <c r="EQ39" s="438"/>
      <c r="ER39" s="438"/>
      <c r="ES39" s="438"/>
      <c r="ET39" s="438"/>
      <c r="EU39" s="438"/>
      <c r="EV39" s="438"/>
      <c r="EW39" s="438"/>
      <c r="EX39" s="438"/>
      <c r="EY39" s="438"/>
      <c r="EZ39" s="438"/>
      <c r="FA39" s="438"/>
      <c r="FB39" s="438"/>
      <c r="FC39" s="438"/>
      <c r="FD39" s="438"/>
      <c r="FE39" s="438"/>
      <c r="FF39" s="438"/>
      <c r="FG39" s="438"/>
      <c r="FH39" s="438"/>
      <c r="FI39" s="438"/>
      <c r="FJ39" s="438"/>
      <c r="FK39" s="438"/>
      <c r="FL39" s="438"/>
      <c r="FM39" s="438"/>
      <c r="FN39" s="438"/>
      <c r="FO39" s="438"/>
      <c r="FP39" s="438"/>
      <c r="FQ39" s="438"/>
      <c r="FR39" s="438"/>
      <c r="FS39" s="438"/>
      <c r="FT39" s="438"/>
      <c r="FU39" s="438"/>
      <c r="FV39" s="438"/>
      <c r="FW39" s="438"/>
      <c r="FX39" s="438"/>
      <c r="FY39" s="438"/>
      <c r="FZ39" s="438"/>
      <c r="GA39" s="438"/>
      <c r="GB39" s="438"/>
      <c r="GC39" s="438"/>
      <c r="GD39" s="438"/>
      <c r="GE39" s="438"/>
      <c r="GF39" s="438"/>
      <c r="GG39" s="438"/>
      <c r="GH39" s="438"/>
      <c r="GI39" s="438"/>
      <c r="GJ39" s="438"/>
      <c r="GK39" s="438"/>
      <c r="GL39" s="438"/>
      <c r="GM39" s="438"/>
      <c r="GN39" s="438"/>
      <c r="GO39" s="438"/>
      <c r="GP39" s="438"/>
      <c r="GQ39" s="438"/>
      <c r="GR39" s="438"/>
      <c r="GS39" s="438"/>
      <c r="GT39" s="438"/>
      <c r="GU39" s="438"/>
      <c r="GV39" s="438"/>
      <c r="GW39" s="438"/>
      <c r="GX39" s="438"/>
      <c r="GY39" s="438"/>
      <c r="GZ39" s="438"/>
      <c r="HA39" s="438"/>
      <c r="HB39" s="438"/>
      <c r="HC39" s="438"/>
      <c r="HD39" s="438"/>
      <c r="HE39" s="438"/>
      <c r="HF39" s="438"/>
      <c r="HG39" s="438"/>
      <c r="HH39" s="438"/>
      <c r="HI39" s="438"/>
      <c r="HJ39" s="438"/>
      <c r="HK39" s="438"/>
      <c r="HL39" s="438"/>
      <c r="HM39" s="438"/>
      <c r="HN39" s="438"/>
      <c r="HO39" s="438"/>
      <c r="HP39" s="438"/>
      <c r="HQ39" s="438"/>
      <c r="HR39" s="438"/>
      <c r="HS39" s="438"/>
      <c r="HT39" s="438"/>
      <c r="HU39" s="438"/>
      <c r="HV39" s="438"/>
      <c r="HW39" s="438"/>
      <c r="HX39" s="438"/>
      <c r="HY39" s="438"/>
      <c r="HZ39" s="438"/>
      <c r="IA39" s="438"/>
      <c r="IB39" s="438"/>
      <c r="IC39" s="438"/>
      <c r="ID39" s="438"/>
      <c r="IE39" s="438"/>
      <c r="IF39" s="438"/>
      <c r="IG39" s="438"/>
      <c r="IH39" s="438"/>
      <c r="II39" s="438"/>
      <c r="IJ39" s="438"/>
      <c r="IK39" s="438"/>
      <c r="IL39" s="438"/>
      <c r="IM39" s="438"/>
      <c r="IN39" s="438"/>
      <c r="IO39" s="438"/>
      <c r="IP39" s="438"/>
      <c r="IQ39" s="438"/>
      <c r="IR39" s="438"/>
      <c r="IS39" s="438"/>
      <c r="IT39" s="438"/>
      <c r="IU39" s="438"/>
      <c r="IV39" s="438"/>
      <c r="IW39" s="438"/>
    </row>
    <row r="40" customFormat="false" ht="12.75" hidden="false" customHeight="false" outlineLevel="0" collapsed="false">
      <c r="A40" s="441" t="s">
        <v>339</v>
      </c>
      <c r="B40" s="450" t="n">
        <f aca="false">B16</f>
        <v>99618</v>
      </c>
      <c r="C40" s="451"/>
      <c r="D40" s="451"/>
      <c r="E40" s="450" t="n">
        <f aca="false">E37*$B$40</f>
        <v>1494.27</v>
      </c>
      <c r="F40" s="450" t="n">
        <f aca="false">F37*$B$40</f>
        <v>4482.81</v>
      </c>
      <c r="G40" s="450" t="n">
        <f aca="false">G37*$B$40</f>
        <v>4482.81</v>
      </c>
      <c r="H40" s="450" t="n">
        <f aca="false">H37*$B$40</f>
        <v>4482.81</v>
      </c>
      <c r="I40" s="450" t="n">
        <f aca="false">I37*$B$40</f>
        <v>4482.81</v>
      </c>
      <c r="J40" s="450" t="n">
        <f aca="false">J37*$B$40</f>
        <v>4482.81</v>
      </c>
      <c r="K40" s="450" t="n">
        <f aca="false">K37*$B$40</f>
        <v>4482.81</v>
      </c>
      <c r="L40" s="450" t="n">
        <f aca="false">L37*$B$40</f>
        <v>4482.81</v>
      </c>
      <c r="M40" s="450" t="n">
        <f aca="false">M37*$B$40</f>
        <v>4482.81</v>
      </c>
      <c r="N40" s="450" t="n">
        <f aca="false">N37*$B$40</f>
        <v>4482.81</v>
      </c>
      <c r="O40" s="450" t="n">
        <f aca="false">O37*$B$40</f>
        <v>4482.81</v>
      </c>
      <c r="P40" s="450" t="n">
        <f aca="false">P37*$B$40</f>
        <v>4482.81</v>
      </c>
      <c r="Q40" s="450" t="n">
        <f aca="false">Q37*$B$40</f>
        <v>4482.81</v>
      </c>
      <c r="R40" s="450" t="n">
        <f aca="false">R37*$B$40</f>
        <v>4482.81</v>
      </c>
      <c r="S40" s="450" t="n">
        <f aca="false">S37*$B$40</f>
        <v>4482.81</v>
      </c>
      <c r="T40" s="450" t="n">
        <f aca="false">T37*$B$40</f>
        <v>4482.81</v>
      </c>
      <c r="U40" s="450" t="n">
        <f aca="false">U37*$B$40</f>
        <v>4482.81</v>
      </c>
      <c r="V40" s="450" t="n">
        <f aca="false">V37*$B$40</f>
        <v>4482.81</v>
      </c>
      <c r="W40" s="450" t="n">
        <f aca="false">W37*$B$40</f>
        <v>4482.81</v>
      </c>
      <c r="X40" s="450" t="n">
        <f aca="false">X37*$B$40</f>
        <v>4482.81</v>
      </c>
      <c r="Y40" s="450" t="n">
        <f aca="false">Y37*$B$40</f>
        <v>4482.81</v>
      </c>
      <c r="Z40" s="450" t="n">
        <f aca="false">Z37*$B$40</f>
        <v>4482.81</v>
      </c>
      <c r="AA40" s="450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8"/>
      <c r="AR40" s="438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/>
      <c r="BF40" s="438"/>
      <c r="BG40" s="438"/>
      <c r="BH40" s="438"/>
      <c r="BI40" s="438"/>
      <c r="BJ40" s="438"/>
      <c r="BK40" s="438"/>
      <c r="BL40" s="438"/>
      <c r="BM40" s="438"/>
      <c r="BN40" s="438"/>
      <c r="BO40" s="438"/>
      <c r="BP40" s="438"/>
      <c r="BQ40" s="438"/>
      <c r="BR40" s="438"/>
      <c r="BS40" s="438"/>
      <c r="BT40" s="438"/>
      <c r="BU40" s="438"/>
      <c r="BV40" s="438"/>
      <c r="BW40" s="438"/>
      <c r="BX40" s="438"/>
      <c r="BY40" s="438"/>
      <c r="BZ40" s="438"/>
      <c r="CA40" s="438"/>
      <c r="CB40" s="438"/>
      <c r="CC40" s="438"/>
      <c r="CD40" s="438"/>
      <c r="CE40" s="438"/>
      <c r="CF40" s="438"/>
      <c r="CG40" s="438"/>
      <c r="CH40" s="438"/>
      <c r="CI40" s="438"/>
      <c r="CJ40" s="438"/>
      <c r="CK40" s="438"/>
      <c r="CL40" s="438"/>
      <c r="CM40" s="438"/>
      <c r="CN40" s="438"/>
      <c r="CO40" s="438"/>
      <c r="CP40" s="438"/>
      <c r="CQ40" s="438"/>
      <c r="CR40" s="438"/>
      <c r="CS40" s="438"/>
      <c r="CT40" s="438"/>
      <c r="CU40" s="438"/>
      <c r="CV40" s="438"/>
      <c r="CW40" s="438"/>
      <c r="CX40" s="438"/>
      <c r="CY40" s="438"/>
      <c r="CZ40" s="438"/>
      <c r="DA40" s="438"/>
      <c r="DB40" s="438"/>
      <c r="DC40" s="438"/>
      <c r="DD40" s="438"/>
      <c r="DE40" s="438"/>
      <c r="DF40" s="438"/>
      <c r="DG40" s="438"/>
      <c r="DH40" s="438"/>
      <c r="DI40" s="438"/>
      <c r="DJ40" s="438"/>
      <c r="DK40" s="438"/>
      <c r="DL40" s="438"/>
      <c r="DM40" s="438"/>
      <c r="DN40" s="438"/>
      <c r="DO40" s="438"/>
      <c r="DP40" s="438"/>
      <c r="DQ40" s="438"/>
      <c r="DR40" s="438"/>
      <c r="DS40" s="438"/>
      <c r="DT40" s="438"/>
      <c r="DU40" s="438"/>
      <c r="DV40" s="438"/>
      <c r="DW40" s="438"/>
      <c r="DX40" s="438"/>
      <c r="DY40" s="438"/>
      <c r="DZ40" s="438"/>
      <c r="EA40" s="438"/>
      <c r="EB40" s="438"/>
      <c r="EC40" s="438"/>
      <c r="ED40" s="438"/>
      <c r="EE40" s="438"/>
      <c r="EF40" s="438"/>
      <c r="EG40" s="438"/>
      <c r="EH40" s="438"/>
      <c r="EI40" s="438"/>
      <c r="EJ40" s="438"/>
      <c r="EK40" s="438"/>
      <c r="EL40" s="438"/>
      <c r="EM40" s="438"/>
      <c r="EN40" s="438"/>
      <c r="EO40" s="438"/>
      <c r="EP40" s="438"/>
      <c r="EQ40" s="438"/>
      <c r="ER40" s="438"/>
      <c r="ES40" s="438"/>
      <c r="ET40" s="438"/>
      <c r="EU40" s="438"/>
      <c r="EV40" s="438"/>
      <c r="EW40" s="438"/>
      <c r="EX40" s="438"/>
      <c r="EY40" s="438"/>
      <c r="EZ40" s="438"/>
      <c r="FA40" s="438"/>
      <c r="FB40" s="438"/>
      <c r="FC40" s="438"/>
      <c r="FD40" s="438"/>
      <c r="FE40" s="438"/>
      <c r="FF40" s="438"/>
      <c r="FG40" s="438"/>
      <c r="FH40" s="438"/>
      <c r="FI40" s="438"/>
      <c r="FJ40" s="438"/>
      <c r="FK40" s="438"/>
      <c r="FL40" s="438"/>
      <c r="FM40" s="438"/>
      <c r="FN40" s="438"/>
      <c r="FO40" s="438"/>
      <c r="FP40" s="438"/>
      <c r="FQ40" s="438"/>
      <c r="FR40" s="438"/>
      <c r="FS40" s="438"/>
      <c r="FT40" s="438"/>
      <c r="FU40" s="438"/>
      <c r="FV40" s="438"/>
      <c r="FW40" s="438"/>
      <c r="FX40" s="438"/>
      <c r="FY40" s="438"/>
      <c r="FZ40" s="438"/>
      <c r="GA40" s="438"/>
      <c r="GB40" s="438"/>
      <c r="GC40" s="438"/>
      <c r="GD40" s="438"/>
      <c r="GE40" s="438"/>
      <c r="GF40" s="438"/>
      <c r="GG40" s="438"/>
      <c r="GH40" s="438"/>
      <c r="GI40" s="438"/>
      <c r="GJ40" s="438"/>
      <c r="GK40" s="438"/>
      <c r="GL40" s="438"/>
      <c r="GM40" s="438"/>
      <c r="GN40" s="438"/>
      <c r="GO40" s="438"/>
      <c r="GP40" s="438"/>
      <c r="GQ40" s="438"/>
      <c r="GR40" s="438"/>
      <c r="GS40" s="438"/>
      <c r="GT40" s="438"/>
      <c r="GU40" s="438"/>
      <c r="GV40" s="438"/>
      <c r="GW40" s="438"/>
      <c r="GX40" s="438"/>
      <c r="GY40" s="438"/>
      <c r="GZ40" s="438"/>
      <c r="HA40" s="438"/>
      <c r="HB40" s="438"/>
      <c r="HC40" s="438"/>
      <c r="HD40" s="438"/>
      <c r="HE40" s="438"/>
      <c r="HF40" s="438"/>
      <c r="HG40" s="438"/>
      <c r="HH40" s="438"/>
      <c r="HI40" s="438"/>
      <c r="HJ40" s="438"/>
      <c r="HK40" s="438"/>
      <c r="HL40" s="438"/>
      <c r="HM40" s="438"/>
      <c r="HN40" s="438"/>
      <c r="HO40" s="438"/>
      <c r="HP40" s="438"/>
      <c r="HQ40" s="438"/>
      <c r="HR40" s="438"/>
      <c r="HS40" s="438"/>
      <c r="HT40" s="438"/>
      <c r="HU40" s="438"/>
      <c r="HV40" s="438"/>
      <c r="HW40" s="438"/>
      <c r="HX40" s="438"/>
      <c r="HY40" s="438"/>
      <c r="HZ40" s="438"/>
      <c r="IA40" s="438"/>
      <c r="IB40" s="438"/>
      <c r="IC40" s="438"/>
      <c r="ID40" s="438"/>
      <c r="IE40" s="438"/>
      <c r="IF40" s="438"/>
      <c r="IG40" s="438"/>
      <c r="IH40" s="438"/>
      <c r="II40" s="438"/>
      <c r="IJ40" s="438"/>
      <c r="IK40" s="438"/>
      <c r="IL40" s="438"/>
      <c r="IM40" s="438"/>
      <c r="IN40" s="438"/>
      <c r="IO40" s="438"/>
      <c r="IP40" s="438"/>
      <c r="IQ40" s="438"/>
      <c r="IR40" s="438"/>
      <c r="IS40" s="438"/>
      <c r="IT40" s="438"/>
      <c r="IU40" s="438"/>
      <c r="IV40" s="438"/>
      <c r="IW40" s="438"/>
    </row>
    <row r="41" customFormat="false" ht="15" hidden="false" customHeight="false" outlineLevel="0" collapsed="false">
      <c r="A41" s="445" t="s">
        <v>332</v>
      </c>
      <c r="B41" s="452" t="n">
        <f aca="false">B17</f>
        <v>0</v>
      </c>
      <c r="C41" s="451"/>
      <c r="D41" s="456"/>
      <c r="E41" s="452" t="n">
        <f aca="false">E38*$B$41</f>
        <v>0</v>
      </c>
      <c r="F41" s="452" t="n">
        <f aca="false">F38*$B$41</f>
        <v>0</v>
      </c>
      <c r="G41" s="452" t="n">
        <f aca="false">G38*$B$41</f>
        <v>0</v>
      </c>
      <c r="H41" s="452" t="n">
        <f aca="false">H38*$B$41</f>
        <v>0</v>
      </c>
      <c r="I41" s="452" t="n">
        <f aca="false">I38*$B$41</f>
        <v>0</v>
      </c>
      <c r="J41" s="452" t="n">
        <f aca="false">J38*$B$41</f>
        <v>0</v>
      </c>
      <c r="K41" s="452" t="n">
        <f aca="false">K38*$B$41</f>
        <v>0</v>
      </c>
      <c r="L41" s="452" t="n">
        <f aca="false">L38*$B$41</f>
        <v>0</v>
      </c>
      <c r="M41" s="452" t="n">
        <f aca="false">M38*$B$41</f>
        <v>0</v>
      </c>
      <c r="N41" s="452" t="n">
        <f aca="false">N38*$B$41</f>
        <v>0</v>
      </c>
      <c r="O41" s="452" t="n">
        <f aca="false">O38*$B$41</f>
        <v>0</v>
      </c>
      <c r="P41" s="452" t="n">
        <f aca="false">P38*$B$41</f>
        <v>0</v>
      </c>
      <c r="Q41" s="452" t="n">
        <f aca="false">Q38*$B$41</f>
        <v>0</v>
      </c>
      <c r="R41" s="452" t="n">
        <f aca="false">R38*$B$41</f>
        <v>0</v>
      </c>
      <c r="S41" s="452" t="n">
        <f aca="false">S38*$B$41</f>
        <v>0</v>
      </c>
      <c r="T41" s="452" t="n">
        <f aca="false">T38*$B$41</f>
        <v>0</v>
      </c>
      <c r="U41" s="452" t="n">
        <f aca="false">U38*$B$41</f>
        <v>0</v>
      </c>
      <c r="V41" s="452" t="n">
        <f aca="false">V38*$B$41</f>
        <v>0</v>
      </c>
      <c r="W41" s="452" t="n">
        <f aca="false">W38*$B$41</f>
        <v>0</v>
      </c>
      <c r="X41" s="452" t="n">
        <f aca="false">X38*$B$41</f>
        <v>0</v>
      </c>
      <c r="Y41" s="452" t="n">
        <f aca="false">Y38*$B$41</f>
        <v>0</v>
      </c>
      <c r="Z41" s="452" t="n">
        <f aca="false">Z38*$B$41</f>
        <v>0</v>
      </c>
      <c r="AB41" s="438"/>
      <c r="AC41" s="438"/>
      <c r="AD41" s="438"/>
      <c r="AE41" s="438"/>
      <c r="AF41" s="438"/>
      <c r="AG41" s="438"/>
      <c r="AH41" s="438"/>
      <c r="AI41" s="438"/>
      <c r="AJ41" s="438"/>
      <c r="AK41" s="438"/>
      <c r="AL41" s="438"/>
      <c r="AM41" s="438"/>
      <c r="AN41" s="438"/>
      <c r="AO41" s="438"/>
      <c r="AP41" s="438"/>
      <c r="AQ41" s="438"/>
      <c r="AR41" s="438"/>
      <c r="AS41" s="438"/>
      <c r="AT41" s="438"/>
      <c r="AU41" s="438"/>
      <c r="AV41" s="438"/>
      <c r="AW41" s="438"/>
      <c r="AX41" s="438"/>
      <c r="AY41" s="438"/>
      <c r="AZ41" s="438"/>
      <c r="BA41" s="438"/>
      <c r="BB41" s="438"/>
      <c r="BC41" s="438"/>
      <c r="BD41" s="438"/>
      <c r="BE41" s="438"/>
      <c r="BF41" s="438"/>
      <c r="BG41" s="438"/>
      <c r="BH41" s="438"/>
      <c r="BI41" s="438"/>
      <c r="BJ41" s="438"/>
      <c r="BK41" s="438"/>
      <c r="BL41" s="438"/>
      <c r="BM41" s="438"/>
      <c r="BN41" s="438"/>
      <c r="BO41" s="438"/>
      <c r="BP41" s="438"/>
      <c r="BQ41" s="438"/>
      <c r="BR41" s="438"/>
      <c r="BS41" s="438"/>
      <c r="BT41" s="438"/>
      <c r="BU41" s="438"/>
      <c r="BV41" s="438"/>
      <c r="BW41" s="438"/>
      <c r="BX41" s="438"/>
      <c r="BY41" s="438"/>
      <c r="BZ41" s="438"/>
      <c r="CA41" s="438"/>
      <c r="CB41" s="438"/>
      <c r="CC41" s="438"/>
      <c r="CD41" s="438"/>
      <c r="CE41" s="438"/>
      <c r="CF41" s="438"/>
      <c r="CG41" s="438"/>
      <c r="CH41" s="438"/>
      <c r="CI41" s="438"/>
      <c r="CJ41" s="438"/>
      <c r="CK41" s="438"/>
      <c r="CL41" s="438"/>
      <c r="CM41" s="438"/>
      <c r="CN41" s="438"/>
      <c r="CO41" s="438"/>
      <c r="CP41" s="438"/>
      <c r="CQ41" s="438"/>
      <c r="CR41" s="438"/>
      <c r="CS41" s="438"/>
      <c r="CT41" s="438"/>
      <c r="CU41" s="438"/>
      <c r="CV41" s="438"/>
      <c r="CW41" s="438"/>
      <c r="CX41" s="438"/>
      <c r="CY41" s="438"/>
      <c r="CZ41" s="438"/>
      <c r="DA41" s="438"/>
      <c r="DB41" s="438"/>
      <c r="DC41" s="438"/>
      <c r="DD41" s="438"/>
      <c r="DE41" s="438"/>
      <c r="DF41" s="438"/>
      <c r="DG41" s="438"/>
      <c r="DH41" s="438"/>
      <c r="DI41" s="438"/>
      <c r="DJ41" s="438"/>
      <c r="DK41" s="438"/>
      <c r="DL41" s="438"/>
      <c r="DM41" s="438"/>
      <c r="DN41" s="438"/>
      <c r="DO41" s="438"/>
      <c r="DP41" s="438"/>
      <c r="DQ41" s="438"/>
      <c r="DR41" s="438"/>
      <c r="DS41" s="438"/>
      <c r="DT41" s="438"/>
      <c r="DU41" s="438"/>
      <c r="DV41" s="438"/>
      <c r="DW41" s="438"/>
      <c r="DX41" s="438"/>
      <c r="DY41" s="438"/>
      <c r="DZ41" s="438"/>
      <c r="EA41" s="438"/>
      <c r="EB41" s="438"/>
      <c r="EC41" s="438"/>
      <c r="ED41" s="438"/>
      <c r="EE41" s="438"/>
      <c r="EF41" s="438"/>
      <c r="EG41" s="438"/>
      <c r="EH41" s="438"/>
      <c r="EI41" s="438"/>
      <c r="EJ41" s="438"/>
      <c r="EK41" s="438"/>
      <c r="EL41" s="438"/>
      <c r="EM41" s="438"/>
      <c r="EN41" s="438"/>
      <c r="EO41" s="438"/>
      <c r="EP41" s="438"/>
      <c r="EQ41" s="438"/>
      <c r="ER41" s="438"/>
      <c r="ES41" s="438"/>
      <c r="ET41" s="438"/>
      <c r="EU41" s="438"/>
      <c r="EV41" s="438"/>
      <c r="EW41" s="438"/>
      <c r="EX41" s="438"/>
      <c r="EY41" s="438"/>
      <c r="EZ41" s="438"/>
      <c r="FA41" s="438"/>
      <c r="FB41" s="438"/>
      <c r="FC41" s="438"/>
      <c r="FD41" s="438"/>
      <c r="FE41" s="438"/>
      <c r="FF41" s="438"/>
      <c r="FG41" s="438"/>
      <c r="FH41" s="438"/>
      <c r="FI41" s="438"/>
      <c r="FJ41" s="438"/>
      <c r="FK41" s="438"/>
      <c r="FL41" s="438"/>
      <c r="FM41" s="438"/>
      <c r="FN41" s="438"/>
      <c r="FO41" s="438"/>
      <c r="FP41" s="438"/>
      <c r="FQ41" s="438"/>
      <c r="FR41" s="438"/>
      <c r="FS41" s="438"/>
      <c r="FT41" s="438"/>
      <c r="FU41" s="438"/>
      <c r="FV41" s="438"/>
      <c r="FW41" s="438"/>
      <c r="FX41" s="438"/>
      <c r="FY41" s="438"/>
      <c r="FZ41" s="438"/>
      <c r="GA41" s="438"/>
      <c r="GB41" s="438"/>
      <c r="GC41" s="438"/>
      <c r="GD41" s="438"/>
      <c r="GE41" s="438"/>
      <c r="GF41" s="438"/>
      <c r="GG41" s="438"/>
      <c r="GH41" s="438"/>
      <c r="GI41" s="438"/>
      <c r="GJ41" s="438"/>
      <c r="GK41" s="438"/>
      <c r="GL41" s="438"/>
      <c r="GM41" s="438"/>
      <c r="GN41" s="438"/>
      <c r="GO41" s="438"/>
      <c r="GP41" s="438"/>
      <c r="GQ41" s="438"/>
      <c r="GR41" s="438"/>
      <c r="GS41" s="438"/>
      <c r="GT41" s="438"/>
      <c r="GU41" s="438"/>
      <c r="GV41" s="438"/>
      <c r="GW41" s="438"/>
      <c r="GX41" s="438"/>
      <c r="GY41" s="438"/>
      <c r="GZ41" s="438"/>
      <c r="HA41" s="438"/>
      <c r="HB41" s="438"/>
      <c r="HC41" s="438"/>
      <c r="HD41" s="438"/>
      <c r="HE41" s="438"/>
      <c r="HF41" s="438"/>
      <c r="HG41" s="438"/>
      <c r="HH41" s="438"/>
      <c r="HI41" s="438"/>
      <c r="HJ41" s="438"/>
      <c r="HK41" s="438"/>
      <c r="HL41" s="438"/>
      <c r="HM41" s="438"/>
      <c r="HN41" s="438"/>
      <c r="HO41" s="438"/>
      <c r="HP41" s="438"/>
      <c r="HQ41" s="438"/>
      <c r="HR41" s="438"/>
      <c r="HS41" s="438"/>
      <c r="HT41" s="438"/>
      <c r="HU41" s="438"/>
      <c r="HV41" s="438"/>
      <c r="HW41" s="438"/>
      <c r="HX41" s="438"/>
      <c r="HY41" s="438"/>
      <c r="HZ41" s="438"/>
      <c r="IA41" s="438"/>
      <c r="IB41" s="438"/>
      <c r="IC41" s="438"/>
      <c r="ID41" s="438"/>
      <c r="IE41" s="438"/>
      <c r="IF41" s="438"/>
      <c r="IG41" s="438"/>
      <c r="IH41" s="438"/>
      <c r="II41" s="438"/>
      <c r="IJ41" s="438"/>
      <c r="IK41" s="438"/>
      <c r="IL41" s="438"/>
      <c r="IM41" s="438"/>
      <c r="IN41" s="438"/>
      <c r="IO41" s="438"/>
      <c r="IP41" s="438"/>
      <c r="IQ41" s="438"/>
      <c r="IR41" s="438"/>
      <c r="IS41" s="438"/>
      <c r="IT41" s="438"/>
      <c r="IU41" s="438"/>
      <c r="IV41" s="438"/>
      <c r="IW41" s="438"/>
    </row>
    <row r="42" customFormat="false" ht="12.75" hidden="false" customHeight="false" outlineLevel="0" collapsed="false">
      <c r="A42" s="454" t="s">
        <v>334</v>
      </c>
      <c r="B42" s="450" t="n">
        <f aca="false">SUM(B40:B41)</f>
        <v>99618</v>
      </c>
      <c r="C42" s="451"/>
      <c r="D42" s="456"/>
      <c r="E42" s="450" t="n">
        <f aca="false">SUM(E40:E41)</f>
        <v>1494.27</v>
      </c>
      <c r="F42" s="450" t="n">
        <f aca="false">SUM(F40:F41)</f>
        <v>4482.81</v>
      </c>
      <c r="G42" s="450" t="n">
        <f aca="false">SUM(G40:G41)</f>
        <v>4482.81</v>
      </c>
      <c r="H42" s="450" t="n">
        <f aca="false">SUM(H40:H41)</f>
        <v>4482.81</v>
      </c>
      <c r="I42" s="450" t="n">
        <f aca="false">SUM(I40:I41)</f>
        <v>4482.81</v>
      </c>
      <c r="J42" s="450" t="n">
        <f aca="false">SUM(J40:J41)</f>
        <v>4482.81</v>
      </c>
      <c r="K42" s="450" t="n">
        <f aca="false">SUM(K40:K41)</f>
        <v>4482.81</v>
      </c>
      <c r="L42" s="450" t="n">
        <f aca="false">SUM(L40:L41)</f>
        <v>4482.81</v>
      </c>
      <c r="M42" s="450" t="n">
        <f aca="false">SUM(M40:M41)</f>
        <v>4482.81</v>
      </c>
      <c r="N42" s="450" t="n">
        <f aca="false">SUM(N40:N41)</f>
        <v>4482.81</v>
      </c>
      <c r="O42" s="450" t="n">
        <f aca="false">SUM(O40:O41)</f>
        <v>4482.81</v>
      </c>
      <c r="P42" s="450" t="n">
        <f aca="false">SUM(P40:P41)</f>
        <v>4482.81</v>
      </c>
      <c r="Q42" s="450" t="n">
        <f aca="false">SUM(Q40:Q41)</f>
        <v>4482.81</v>
      </c>
      <c r="R42" s="450" t="n">
        <f aca="false">SUM(R40:R41)</f>
        <v>4482.81</v>
      </c>
      <c r="S42" s="450" t="n">
        <f aca="false">SUM(S40:S41)</f>
        <v>4482.81</v>
      </c>
      <c r="T42" s="450" t="n">
        <f aca="false">SUM(T40:T41)</f>
        <v>4482.81</v>
      </c>
      <c r="U42" s="450" t="n">
        <f aca="false">SUM(U40:U41)</f>
        <v>4482.81</v>
      </c>
      <c r="V42" s="450" t="n">
        <f aca="false">SUM(V40:V41)</f>
        <v>4482.81</v>
      </c>
      <c r="W42" s="450" t="n">
        <f aca="false">SUM(W40:W41)</f>
        <v>4482.81</v>
      </c>
      <c r="X42" s="450" t="n">
        <f aca="false">SUM(X40:X41)</f>
        <v>4482.81</v>
      </c>
      <c r="Y42" s="450" t="n">
        <f aca="false">SUM(Y40:Y41)</f>
        <v>4482.81</v>
      </c>
      <c r="Z42" s="450" t="n">
        <f aca="false">SUM(Z40:Z41)</f>
        <v>4482.81</v>
      </c>
      <c r="AA42" s="450"/>
      <c r="AB42" s="438"/>
      <c r="AC42" s="438"/>
      <c r="AD42" s="438"/>
      <c r="AE42" s="438"/>
      <c r="AF42" s="438"/>
      <c r="AG42" s="438"/>
      <c r="AH42" s="438"/>
      <c r="AI42" s="438"/>
      <c r="AJ42" s="438"/>
      <c r="AK42" s="438"/>
      <c r="AL42" s="438"/>
      <c r="AM42" s="438"/>
      <c r="AN42" s="438"/>
      <c r="AO42" s="438"/>
      <c r="AP42" s="438"/>
      <c r="AQ42" s="438"/>
      <c r="AR42" s="438"/>
      <c r="AS42" s="438"/>
      <c r="AT42" s="438"/>
      <c r="AU42" s="438"/>
      <c r="AV42" s="438"/>
      <c r="AW42" s="438"/>
      <c r="AX42" s="438"/>
      <c r="AY42" s="438"/>
      <c r="AZ42" s="438"/>
      <c r="BA42" s="438"/>
      <c r="BB42" s="438"/>
      <c r="BC42" s="438"/>
      <c r="BD42" s="438"/>
      <c r="BE42" s="438"/>
      <c r="BF42" s="438"/>
      <c r="BG42" s="438"/>
      <c r="BH42" s="438"/>
      <c r="BI42" s="438"/>
      <c r="BJ42" s="438"/>
      <c r="BK42" s="438"/>
      <c r="BL42" s="438"/>
      <c r="BM42" s="438"/>
      <c r="BN42" s="438"/>
      <c r="BO42" s="438"/>
      <c r="BP42" s="438"/>
      <c r="BQ42" s="438"/>
      <c r="BR42" s="438"/>
      <c r="BS42" s="438"/>
      <c r="BT42" s="438"/>
      <c r="BU42" s="438"/>
      <c r="BV42" s="438"/>
      <c r="BW42" s="438"/>
      <c r="BX42" s="438"/>
      <c r="BY42" s="438"/>
      <c r="BZ42" s="438"/>
      <c r="CA42" s="438"/>
      <c r="CB42" s="438"/>
      <c r="CC42" s="438"/>
      <c r="CD42" s="438"/>
      <c r="CE42" s="438"/>
      <c r="CF42" s="438"/>
      <c r="CG42" s="438"/>
      <c r="CH42" s="438"/>
      <c r="CI42" s="438"/>
      <c r="CJ42" s="438"/>
      <c r="CK42" s="438"/>
      <c r="CL42" s="438"/>
      <c r="CM42" s="438"/>
      <c r="CN42" s="438"/>
      <c r="CO42" s="438"/>
      <c r="CP42" s="438"/>
      <c r="CQ42" s="438"/>
      <c r="CR42" s="438"/>
      <c r="CS42" s="438"/>
      <c r="CT42" s="438"/>
      <c r="CU42" s="438"/>
      <c r="CV42" s="438"/>
      <c r="CW42" s="438"/>
      <c r="CX42" s="438"/>
      <c r="CY42" s="438"/>
      <c r="CZ42" s="438"/>
      <c r="DA42" s="438"/>
      <c r="DB42" s="438"/>
      <c r="DC42" s="438"/>
      <c r="DD42" s="438"/>
      <c r="DE42" s="438"/>
      <c r="DF42" s="438"/>
      <c r="DG42" s="438"/>
      <c r="DH42" s="438"/>
      <c r="DI42" s="438"/>
      <c r="DJ42" s="438"/>
      <c r="DK42" s="438"/>
      <c r="DL42" s="438"/>
      <c r="DM42" s="438"/>
      <c r="DN42" s="438"/>
      <c r="DO42" s="438"/>
      <c r="DP42" s="438"/>
      <c r="DQ42" s="438"/>
      <c r="DR42" s="438"/>
      <c r="DS42" s="438"/>
      <c r="DT42" s="438"/>
      <c r="DU42" s="438"/>
      <c r="DV42" s="438"/>
      <c r="DW42" s="438"/>
      <c r="DX42" s="438"/>
      <c r="DY42" s="438"/>
      <c r="DZ42" s="438"/>
      <c r="EA42" s="438"/>
      <c r="EB42" s="438"/>
      <c r="EC42" s="438"/>
      <c r="ED42" s="438"/>
      <c r="EE42" s="438"/>
      <c r="EF42" s="438"/>
      <c r="EG42" s="438"/>
      <c r="EH42" s="438"/>
      <c r="EI42" s="438"/>
      <c r="EJ42" s="438"/>
      <c r="EK42" s="438"/>
      <c r="EL42" s="438"/>
      <c r="EM42" s="438"/>
      <c r="EN42" s="438"/>
      <c r="EO42" s="438"/>
      <c r="EP42" s="438"/>
      <c r="EQ42" s="438"/>
      <c r="ER42" s="438"/>
      <c r="ES42" s="438"/>
      <c r="ET42" s="438"/>
      <c r="EU42" s="438"/>
      <c r="EV42" s="438"/>
      <c r="EW42" s="438"/>
      <c r="EX42" s="438"/>
      <c r="EY42" s="438"/>
      <c r="EZ42" s="438"/>
      <c r="FA42" s="438"/>
      <c r="FB42" s="438"/>
      <c r="FC42" s="438"/>
      <c r="FD42" s="438"/>
      <c r="FE42" s="438"/>
      <c r="FF42" s="438"/>
      <c r="FG42" s="438"/>
      <c r="FH42" s="438"/>
      <c r="FI42" s="438"/>
      <c r="FJ42" s="438"/>
      <c r="FK42" s="438"/>
      <c r="FL42" s="438"/>
      <c r="FM42" s="438"/>
      <c r="FN42" s="438"/>
      <c r="FO42" s="438"/>
      <c r="FP42" s="438"/>
      <c r="FQ42" s="438"/>
      <c r="FR42" s="438"/>
      <c r="FS42" s="438"/>
      <c r="FT42" s="438"/>
      <c r="FU42" s="438"/>
      <c r="FV42" s="438"/>
      <c r="FW42" s="438"/>
      <c r="FX42" s="438"/>
      <c r="FY42" s="438"/>
      <c r="FZ42" s="438"/>
      <c r="GA42" s="438"/>
      <c r="GB42" s="438"/>
      <c r="GC42" s="438"/>
      <c r="GD42" s="438"/>
      <c r="GE42" s="438"/>
      <c r="GF42" s="438"/>
      <c r="GG42" s="438"/>
      <c r="GH42" s="438"/>
      <c r="GI42" s="438"/>
      <c r="GJ42" s="438"/>
      <c r="GK42" s="438"/>
      <c r="GL42" s="438"/>
      <c r="GM42" s="438"/>
      <c r="GN42" s="438"/>
      <c r="GO42" s="438"/>
      <c r="GP42" s="438"/>
      <c r="GQ42" s="438"/>
      <c r="GR42" s="438"/>
      <c r="GS42" s="438"/>
      <c r="GT42" s="438"/>
      <c r="GU42" s="438"/>
      <c r="GV42" s="438"/>
      <c r="GW42" s="438"/>
      <c r="GX42" s="438"/>
      <c r="GY42" s="438"/>
      <c r="GZ42" s="438"/>
      <c r="HA42" s="438"/>
      <c r="HB42" s="438"/>
      <c r="HC42" s="438"/>
      <c r="HD42" s="438"/>
      <c r="HE42" s="438"/>
      <c r="HF42" s="438"/>
      <c r="HG42" s="438"/>
      <c r="HH42" s="438"/>
      <c r="HI42" s="438"/>
      <c r="HJ42" s="438"/>
      <c r="HK42" s="438"/>
      <c r="HL42" s="438"/>
      <c r="HM42" s="438"/>
      <c r="HN42" s="438"/>
      <c r="HO42" s="438"/>
      <c r="HP42" s="438"/>
      <c r="HQ42" s="438"/>
      <c r="HR42" s="438"/>
      <c r="HS42" s="438"/>
      <c r="HT42" s="438"/>
      <c r="HU42" s="438"/>
      <c r="HV42" s="438"/>
      <c r="HW42" s="438"/>
      <c r="HX42" s="438"/>
      <c r="HY42" s="438"/>
      <c r="HZ42" s="438"/>
      <c r="IA42" s="438"/>
      <c r="IB42" s="438"/>
      <c r="IC42" s="438"/>
      <c r="ID42" s="438"/>
      <c r="IE42" s="438"/>
      <c r="IF42" s="438"/>
      <c r="IG42" s="438"/>
      <c r="IH42" s="438"/>
      <c r="II42" s="438"/>
      <c r="IJ42" s="438"/>
      <c r="IK42" s="438"/>
      <c r="IL42" s="438"/>
      <c r="IM42" s="438"/>
      <c r="IN42" s="438"/>
      <c r="IO42" s="438"/>
      <c r="IP42" s="438"/>
      <c r="IQ42" s="438"/>
      <c r="IR42" s="438"/>
      <c r="IS42" s="438"/>
      <c r="IT42" s="438"/>
      <c r="IU42" s="438"/>
      <c r="IV42" s="438"/>
      <c r="IW42" s="438"/>
    </row>
    <row r="43" customFormat="false" ht="12.75" hidden="false" customHeight="false" outlineLevel="0" collapsed="false">
      <c r="A43" s="445"/>
      <c r="AB43" s="438"/>
      <c r="AC43" s="438"/>
    </row>
    <row r="44" customFormat="false" ht="12.75" hidden="false" customHeight="false" outlineLevel="0" collapsed="false">
      <c r="A44" s="454" t="s">
        <v>340</v>
      </c>
      <c r="B44" s="433" t="n">
        <f aca="false">B42</f>
        <v>99618</v>
      </c>
      <c r="E44" s="450" t="n">
        <f aca="false">B42-E42</f>
        <v>98123.73</v>
      </c>
      <c r="F44" s="450" t="n">
        <f aca="false">E44-F42</f>
        <v>93640.92</v>
      </c>
      <c r="G44" s="450" t="n">
        <f aca="false">F44-G42</f>
        <v>89158.11</v>
      </c>
      <c r="H44" s="450" t="n">
        <f aca="false">G44-H42</f>
        <v>84675.3</v>
      </c>
      <c r="I44" s="450" t="n">
        <f aca="false">H44-I42</f>
        <v>80192.49</v>
      </c>
      <c r="J44" s="450" t="n">
        <f aca="false">I44-J42</f>
        <v>75709.68</v>
      </c>
      <c r="K44" s="450" t="n">
        <f aca="false">J44-K42</f>
        <v>71226.87</v>
      </c>
      <c r="L44" s="450" t="n">
        <f aca="false">K44-L42</f>
        <v>66744.06</v>
      </c>
      <c r="M44" s="450" t="n">
        <f aca="false">L44-M42</f>
        <v>62261.25</v>
      </c>
      <c r="N44" s="450" t="n">
        <f aca="false">M44-N42</f>
        <v>57778.44</v>
      </c>
      <c r="O44" s="450" t="n">
        <f aca="false">N44-O42</f>
        <v>53295.63</v>
      </c>
      <c r="P44" s="450" t="n">
        <f aca="false">O44-P42</f>
        <v>48812.82</v>
      </c>
      <c r="Q44" s="450" t="n">
        <f aca="false">P44-Q42</f>
        <v>44330.01</v>
      </c>
      <c r="R44" s="450" t="n">
        <f aca="false">Q44-R42</f>
        <v>39847.2</v>
      </c>
      <c r="S44" s="450" t="n">
        <f aca="false">R44-S42</f>
        <v>35364.39</v>
      </c>
      <c r="T44" s="450" t="n">
        <f aca="false">S44-T42</f>
        <v>30881.58</v>
      </c>
      <c r="U44" s="450" t="n">
        <f aca="false">T44-U42</f>
        <v>26398.77</v>
      </c>
      <c r="V44" s="450" t="n">
        <f aca="false">U44-V42</f>
        <v>21915.96</v>
      </c>
      <c r="W44" s="450" t="n">
        <f aca="false">V44-W42</f>
        <v>17433.15</v>
      </c>
      <c r="X44" s="450" t="n">
        <f aca="false">W44-X42</f>
        <v>12950.34</v>
      </c>
      <c r="Y44" s="450" t="n">
        <f aca="false">X44-Y42</f>
        <v>8467.53000000002</v>
      </c>
      <c r="Z44" s="450" t="n">
        <f aca="false">Y44-Z42</f>
        <v>3984.72000000002</v>
      </c>
      <c r="AA44" s="434"/>
      <c r="AD44" s="432"/>
      <c r="AE44" s="432"/>
      <c r="AF44" s="432"/>
      <c r="AG44" s="432"/>
      <c r="AH44" s="432"/>
      <c r="AI44" s="432"/>
      <c r="AJ44" s="432"/>
      <c r="AK44" s="432"/>
      <c r="AL44" s="432"/>
      <c r="AM44" s="432"/>
      <c r="AN44" s="432"/>
      <c r="AO44" s="432"/>
      <c r="AP44" s="432"/>
      <c r="AQ44" s="432"/>
      <c r="AR44" s="432"/>
      <c r="AS44" s="432"/>
      <c r="AT44" s="432"/>
      <c r="AU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432"/>
      <c r="BR44" s="432"/>
      <c r="BS44" s="432"/>
      <c r="BT44" s="432"/>
      <c r="BU44" s="432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  <c r="CP44" s="432"/>
      <c r="CQ44" s="432"/>
      <c r="CR44" s="432"/>
      <c r="CS44" s="432"/>
      <c r="CT44" s="432"/>
      <c r="CU44" s="432"/>
      <c r="CV44" s="432"/>
      <c r="CW44" s="432"/>
      <c r="CX44" s="432"/>
      <c r="CY44" s="432"/>
      <c r="CZ44" s="432"/>
      <c r="DA44" s="432"/>
      <c r="DB44" s="432"/>
      <c r="DC44" s="432"/>
      <c r="DD44" s="432"/>
      <c r="DE44" s="432"/>
      <c r="DF44" s="432"/>
      <c r="DG44" s="432"/>
      <c r="DH44" s="432"/>
      <c r="DI44" s="432"/>
      <c r="DJ44" s="432"/>
      <c r="DK44" s="432"/>
      <c r="DL44" s="432"/>
      <c r="DM44" s="432"/>
      <c r="DN44" s="432"/>
      <c r="DO44" s="432"/>
      <c r="DP44" s="432"/>
      <c r="DQ44" s="432"/>
      <c r="DR44" s="432"/>
      <c r="DS44" s="432"/>
      <c r="DT44" s="432"/>
      <c r="DU44" s="432"/>
      <c r="DV44" s="432"/>
      <c r="DW44" s="432"/>
      <c r="DX44" s="432"/>
      <c r="DY44" s="432"/>
      <c r="DZ44" s="432"/>
      <c r="EA44" s="432"/>
      <c r="EB44" s="432"/>
      <c r="EC44" s="432"/>
      <c r="ED44" s="432"/>
      <c r="EE44" s="432"/>
      <c r="EF44" s="432"/>
      <c r="EG44" s="432"/>
      <c r="EH44" s="432"/>
      <c r="EI44" s="432"/>
      <c r="EJ44" s="432"/>
      <c r="EK44" s="432"/>
      <c r="EL44" s="432"/>
      <c r="EM44" s="432"/>
      <c r="EN44" s="432"/>
      <c r="EO44" s="432"/>
      <c r="EP44" s="432"/>
      <c r="EQ44" s="432"/>
      <c r="ER44" s="432"/>
      <c r="ES44" s="432"/>
      <c r="ET44" s="432"/>
      <c r="EU44" s="432"/>
      <c r="EV44" s="432"/>
      <c r="EW44" s="432"/>
      <c r="EX44" s="432"/>
      <c r="EY44" s="432"/>
      <c r="EZ44" s="432"/>
      <c r="FA44" s="432"/>
      <c r="FB44" s="432"/>
      <c r="FC44" s="432"/>
      <c r="FD44" s="432"/>
      <c r="FE44" s="432"/>
      <c r="FF44" s="432"/>
      <c r="FG44" s="432"/>
      <c r="FH44" s="432"/>
      <c r="FI44" s="432"/>
      <c r="FJ44" s="432"/>
      <c r="FK44" s="432"/>
      <c r="FL44" s="432"/>
      <c r="FM44" s="432"/>
      <c r="FN44" s="432"/>
      <c r="FO44" s="432"/>
      <c r="FP44" s="432"/>
      <c r="FQ44" s="432"/>
      <c r="FR44" s="432"/>
      <c r="FS44" s="432"/>
      <c r="FT44" s="432"/>
      <c r="FU44" s="432"/>
      <c r="FV44" s="432"/>
      <c r="FW44" s="432"/>
      <c r="FX44" s="432"/>
      <c r="FY44" s="432"/>
      <c r="FZ44" s="432"/>
      <c r="GA44" s="432"/>
      <c r="GB44" s="432"/>
      <c r="GC44" s="432"/>
      <c r="GD44" s="432"/>
      <c r="GE44" s="432"/>
      <c r="GF44" s="432"/>
      <c r="GG44" s="432"/>
      <c r="GH44" s="432"/>
      <c r="GI44" s="432"/>
      <c r="GJ44" s="432"/>
      <c r="GK44" s="432"/>
      <c r="GL44" s="432"/>
      <c r="GM44" s="432"/>
      <c r="GN44" s="432"/>
      <c r="GO44" s="432"/>
      <c r="GP44" s="432"/>
      <c r="GQ44" s="432"/>
      <c r="GR44" s="432"/>
      <c r="GS44" s="432"/>
      <c r="GT44" s="432"/>
      <c r="GU44" s="432"/>
      <c r="GV44" s="432"/>
      <c r="GW44" s="432"/>
      <c r="GX44" s="432"/>
      <c r="GY44" s="432"/>
      <c r="GZ44" s="432"/>
      <c r="HA44" s="432"/>
      <c r="HB44" s="432"/>
      <c r="HC44" s="432"/>
      <c r="HD44" s="432"/>
      <c r="HE44" s="432"/>
      <c r="HF44" s="432"/>
      <c r="HG44" s="432"/>
      <c r="HH44" s="432"/>
      <c r="HI44" s="432"/>
      <c r="HJ44" s="432"/>
      <c r="HK44" s="432"/>
      <c r="HL44" s="432"/>
      <c r="HM44" s="432"/>
      <c r="HN44" s="432"/>
      <c r="HO44" s="432"/>
      <c r="HP44" s="432"/>
      <c r="HQ44" s="432"/>
      <c r="HR44" s="432"/>
      <c r="HS44" s="432"/>
      <c r="HT44" s="432"/>
      <c r="HU44" s="432"/>
      <c r="HV44" s="432"/>
      <c r="HW44" s="432"/>
      <c r="HX44" s="432"/>
      <c r="HY44" s="432"/>
      <c r="HZ44" s="432"/>
      <c r="IA44" s="432"/>
      <c r="IB44" s="432"/>
      <c r="IC44" s="432"/>
      <c r="ID44" s="432"/>
      <c r="IE44" s="432"/>
      <c r="IF44" s="432"/>
      <c r="IG44" s="432"/>
      <c r="IH44" s="432"/>
      <c r="II44" s="432"/>
      <c r="IJ44" s="432"/>
      <c r="IK44" s="432"/>
      <c r="IL44" s="432"/>
      <c r="IM44" s="432"/>
      <c r="IN44" s="432"/>
      <c r="IO44" s="432"/>
      <c r="IP44" s="432"/>
      <c r="IQ44" s="432"/>
      <c r="IR44" s="432"/>
      <c r="IS44" s="432"/>
      <c r="IT44" s="432"/>
      <c r="IU44" s="432"/>
      <c r="IV44" s="432"/>
      <c r="IW44" s="432"/>
    </row>
    <row r="45" customFormat="false" ht="12.75" hidden="false" customHeight="false" outlineLevel="0" collapsed="false">
      <c r="AB45" s="432"/>
      <c r="AC45" s="4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mbaker2</cp:lastModifiedBy>
  <cp:lastPrinted>2000-01-20T11:58:15Z</cp:lastPrinted>
  <cp:revision>0</cp:revision>
  <dc:subject/>
  <dc:title/>
</cp:coreProperties>
</file>